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PMC 03\Documents\CY 2024 FILES\FS 2024\"/>
    </mc:Choice>
  </mc:AlternateContent>
  <xr:revisionPtr revIDLastSave="0" documentId="13_ncr:1_{129F4EFE-00F8-49D0-8E92-2C039B041893}" xr6:coauthVersionLast="47" xr6:coauthVersionMax="47" xr10:uidLastSave="{00000000-0000-0000-0000-000000000000}"/>
  <bookViews>
    <workbookView xWindow="-108" yWindow="-108" windowWidth="23256" windowHeight="12456" activeTab="6" xr2:uid="{00000000-000D-0000-FFFF-FFFF00000000}"/>
  </bookViews>
  <sheets>
    <sheet name="SFP" sheetId="73" r:id="rId1"/>
    <sheet name="Detailed SFP" sheetId="76" r:id="rId2"/>
    <sheet name="SCI" sheetId="74" r:id="rId3"/>
    <sheet name="Detailed SCI" sheetId="77" r:id="rId4"/>
    <sheet name="SCE" sheetId="75" r:id="rId5"/>
    <sheet name="SCF" sheetId="79" r:id="rId6"/>
    <sheet name="Detailed SCF" sheetId="81" r:id="rId7"/>
  </sheets>
  <definedNames>
    <definedName name="_xlnm.Print_Area" localSheetId="6">'Detailed SCF'!$A$1:$G$67</definedName>
    <definedName name="_xlnm.Print_Area" localSheetId="3">'Detailed SCI'!$A$1:$G$113</definedName>
    <definedName name="_xlnm.Print_Area" localSheetId="1">'Detailed SFP'!$A$1:$H$171</definedName>
    <definedName name="_xlnm.Print_Area" localSheetId="4">SCE!$A$1:$G$39</definedName>
    <definedName name="_xlnm.Print_Area" localSheetId="5">SCF!$A$1:$G$51</definedName>
    <definedName name="_xlnm.Print_Area" localSheetId="2">SCI!$A$1:$G$29</definedName>
    <definedName name="_xlnm.Print_Area" localSheetId="0">SFP!$A$1:$H$57</definedName>
    <definedName name="_xlnm.Print_Titles" localSheetId="6">'Detailed SCF'!$6:$6</definedName>
    <definedName name="_xlnm.Print_Titles" localSheetId="3">'Detailed SCI'!$6:$6</definedName>
    <definedName name="_xlnm.Print_Titles" localSheetId="1">'Detailed SFP'!$6:$6</definedName>
    <definedName name="_xlnm.Print_Titles" localSheetId="4">SCE!$6:$6</definedName>
    <definedName name="_xlnm.Print_Titles" localSheetId="5">SCF!$6:$6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2" i="81" l="1"/>
  <c r="E25" i="81"/>
  <c r="E27" i="81"/>
  <c r="E24" i="81" l="1"/>
  <c r="E13" i="81"/>
  <c r="E24" i="75" l="1"/>
  <c r="E65" i="77"/>
  <c r="E94" i="77"/>
  <c r="E87" i="77"/>
  <c r="E85" i="77"/>
  <c r="E82" i="77"/>
  <c r="E77" i="77"/>
  <c r="E59" i="77"/>
  <c r="E53" i="77"/>
  <c r="F159" i="76"/>
  <c r="F120" i="76"/>
  <c r="F112" i="76"/>
  <c r="F14" i="76"/>
  <c r="G38" i="73"/>
  <c r="G13" i="73"/>
  <c r="F53" i="76"/>
  <c r="G53" i="76"/>
  <c r="G101" i="76"/>
  <c r="H15" i="76" l="1"/>
  <c r="G16" i="76"/>
  <c r="F16" i="76"/>
  <c r="G76" i="77"/>
  <c r="E38" i="81" l="1"/>
  <c r="E11" i="81" l="1"/>
  <c r="G53" i="77" l="1"/>
  <c r="G60" i="77" l="1"/>
  <c r="H70" i="76"/>
  <c r="G71" i="76"/>
  <c r="F71" i="76"/>
  <c r="F97" i="77"/>
  <c r="H44" i="76"/>
  <c r="F32" i="81" l="1"/>
  <c r="F18" i="81"/>
  <c r="F19" i="77"/>
  <c r="E19" i="77"/>
  <c r="G17" i="77"/>
  <c r="G15" i="77"/>
  <c r="G14" i="77"/>
  <c r="G44" i="81" l="1"/>
  <c r="G41" i="81"/>
  <c r="G31" i="81"/>
  <c r="G30" i="81"/>
  <c r="G27" i="81"/>
  <c r="G25" i="81"/>
  <c r="G24" i="81"/>
  <c r="G17" i="81"/>
  <c r="G15" i="81"/>
  <c r="G13" i="81"/>
  <c r="F39" i="79"/>
  <c r="E30" i="79"/>
  <c r="E29" i="79"/>
  <c r="E55" i="81"/>
  <c r="E47" i="81"/>
  <c r="H12" i="76" l="1"/>
  <c r="G71" i="77"/>
  <c r="E97" i="77"/>
  <c r="E49" i="81" l="1"/>
  <c r="E27" i="79"/>
  <c r="F55" i="81"/>
  <c r="F34" i="81"/>
  <c r="G43" i="77" l="1"/>
  <c r="F44" i="77"/>
  <c r="E44" i="77"/>
  <c r="E28" i="81" s="1"/>
  <c r="G28" i="81" s="1"/>
  <c r="G31" i="73" l="1"/>
  <c r="G11" i="81" l="1"/>
  <c r="G18" i="81" s="1"/>
  <c r="E18" i="81"/>
  <c r="F31" i="73"/>
  <c r="H31" i="73" s="1"/>
  <c r="H126" i="76" l="1"/>
  <c r="H14" i="76" l="1"/>
  <c r="H11" i="76"/>
  <c r="H16" i="76" l="1"/>
  <c r="G35" i="77"/>
  <c r="E20" i="79" l="1"/>
  <c r="F13" i="79"/>
  <c r="E13" i="79"/>
  <c r="E37" i="79" l="1"/>
  <c r="G37" i="79" l="1"/>
  <c r="E39" i="79"/>
  <c r="F20" i="79"/>
  <c r="G59" i="77" l="1"/>
  <c r="G58" i="77"/>
  <c r="G30" i="77"/>
  <c r="F38" i="73"/>
  <c r="H38" i="73" s="1"/>
  <c r="H39" i="73" s="1"/>
  <c r="G40" i="76"/>
  <c r="G114" i="76"/>
  <c r="F114" i="76"/>
  <c r="H113" i="76"/>
  <c r="H39" i="76"/>
  <c r="H38" i="76"/>
  <c r="F40" i="76"/>
  <c r="F13" i="73" s="1"/>
  <c r="H32" i="76"/>
  <c r="G33" i="76"/>
  <c r="F33" i="76"/>
  <c r="H27" i="76"/>
  <c r="H26" i="76"/>
  <c r="G29" i="73" l="1"/>
  <c r="F29" i="73"/>
  <c r="G55" i="76"/>
  <c r="F30" i="79"/>
  <c r="F29" i="79"/>
  <c r="G29" i="79" s="1"/>
  <c r="F38" i="81"/>
  <c r="G38" i="81" l="1"/>
  <c r="F55" i="76"/>
  <c r="E37" i="77"/>
  <c r="G32" i="77"/>
  <c r="G34" i="77"/>
  <c r="G33" i="77"/>
  <c r="G33" i="73"/>
  <c r="F33" i="73"/>
  <c r="F101" i="76"/>
  <c r="H100" i="76"/>
  <c r="H135" i="76"/>
  <c r="G13" i="79"/>
  <c r="G15" i="79"/>
  <c r="H33" i="73" l="1"/>
  <c r="E10" i="79"/>
  <c r="E43" i="79"/>
  <c r="E31" i="79"/>
  <c r="E33" i="79" s="1"/>
  <c r="E18" i="79"/>
  <c r="E17" i="79"/>
  <c r="E12" i="79"/>
  <c r="E11" i="79"/>
  <c r="F43" i="79"/>
  <c r="F18" i="79"/>
  <c r="F17" i="79"/>
  <c r="F12" i="79"/>
  <c r="F11" i="79"/>
  <c r="G43" i="79" l="1"/>
  <c r="G12" i="79"/>
  <c r="G11" i="79"/>
  <c r="G17" i="79"/>
  <c r="G18" i="79"/>
  <c r="E14" i="79"/>
  <c r="F10" i="79" l="1"/>
  <c r="G10" i="79" s="1"/>
  <c r="G14" i="79" s="1"/>
  <c r="F27" i="79"/>
  <c r="E89" i="77" l="1"/>
  <c r="G6" i="76"/>
  <c r="F7" i="74" s="1"/>
  <c r="F6" i="77" s="1"/>
  <c r="F6" i="75" s="1"/>
  <c r="F6" i="79" s="1"/>
  <c r="F6" i="81" s="1"/>
  <c r="F6" i="76"/>
  <c r="E7" i="74" s="1"/>
  <c r="E6" i="77" s="1"/>
  <c r="E6" i="75" s="1"/>
  <c r="E6" i="79" s="1"/>
  <c r="E6" i="81" s="1"/>
  <c r="E22" i="81" l="1"/>
  <c r="G22" i="81" s="1"/>
  <c r="F37" i="77"/>
  <c r="A4" i="76" l="1"/>
  <c r="F132" i="76" l="1"/>
  <c r="F20" i="74" l="1"/>
  <c r="E20" i="74"/>
  <c r="G39" i="73"/>
  <c r="G11" i="73"/>
  <c r="F34" i="73"/>
  <c r="F11" i="73"/>
  <c r="G30" i="79" l="1"/>
  <c r="F47" i="81"/>
  <c r="F49" i="81" s="1"/>
  <c r="F31" i="79"/>
  <c r="F33" i="79" s="1"/>
  <c r="F14" i="79" l="1"/>
  <c r="G27" i="79" l="1"/>
  <c r="G87" i="77" l="1"/>
  <c r="G86" i="77"/>
  <c r="G85" i="77"/>
  <c r="G84" i="77"/>
  <c r="G82" i="77"/>
  <c r="G81" i="77"/>
  <c r="G78" i="77"/>
  <c r="G77" i="77"/>
  <c r="G74" i="77"/>
  <c r="G73" i="77"/>
  <c r="G70" i="77"/>
  <c r="G68" i="77"/>
  <c r="G66" i="77"/>
  <c r="G65" i="77"/>
  <c r="G64" i="77"/>
  <c r="G62" i="77"/>
  <c r="G57" i="77"/>
  <c r="G55" i="77"/>
  <c r="G46" i="77"/>
  <c r="G42" i="77"/>
  <c r="G41" i="77"/>
  <c r="G40" i="77"/>
  <c r="G39" i="77"/>
  <c r="G36" i="77"/>
  <c r="G31" i="77"/>
  <c r="G29" i="77"/>
  <c r="G28" i="77"/>
  <c r="G27" i="77"/>
  <c r="G24" i="77"/>
  <c r="G13" i="77"/>
  <c r="G11" i="77"/>
  <c r="G19" i="77" l="1"/>
  <c r="G44" i="77"/>
  <c r="G37" i="77"/>
  <c r="G79" i="77"/>
  <c r="G20" i="74"/>
  <c r="G14" i="73"/>
  <c r="G21" i="73"/>
  <c r="F14" i="73"/>
  <c r="A4" i="74"/>
  <c r="A4" i="77" s="1"/>
  <c r="A4" i="75" s="1"/>
  <c r="A4" i="79" s="1"/>
  <c r="G45" i="81" l="1"/>
  <c r="G46" i="81" l="1"/>
  <c r="G43" i="81" l="1"/>
  <c r="G59" i="81" l="1"/>
  <c r="G47" i="81"/>
  <c r="A4" i="81"/>
  <c r="G96" i="77"/>
  <c r="G95" i="77"/>
  <c r="G94" i="77"/>
  <c r="G93" i="77"/>
  <c r="F19" i="79"/>
  <c r="E19" i="79"/>
  <c r="F47" i="77"/>
  <c r="E47" i="77"/>
  <c r="F25" i="77"/>
  <c r="E25" i="77"/>
  <c r="H19" i="73"/>
  <c r="G103" i="77"/>
  <c r="G47" i="77"/>
  <c r="F11" i="74"/>
  <c r="E11" i="74"/>
  <c r="G160" i="76"/>
  <c r="G46" i="73" s="1"/>
  <c r="F160" i="76"/>
  <c r="F46" i="73" s="1"/>
  <c r="H159" i="76"/>
  <c r="H160" i="76" s="1"/>
  <c r="H161" i="76" s="1"/>
  <c r="G156" i="76"/>
  <c r="G45" i="73" s="1"/>
  <c r="F156" i="76"/>
  <c r="F45" i="73" s="1"/>
  <c r="H154" i="76"/>
  <c r="H153" i="76"/>
  <c r="G146" i="76"/>
  <c r="F146" i="76"/>
  <c r="H144" i="76"/>
  <c r="H146" i="76" s="1"/>
  <c r="G132" i="76"/>
  <c r="F32" i="73"/>
  <c r="H131" i="76"/>
  <c r="H130" i="76"/>
  <c r="H129" i="76"/>
  <c r="G123" i="76"/>
  <c r="F123" i="76"/>
  <c r="F140" i="76" s="1"/>
  <c r="H122" i="76"/>
  <c r="H121" i="76"/>
  <c r="H120" i="76"/>
  <c r="H119" i="76"/>
  <c r="H118" i="76"/>
  <c r="H117" i="76"/>
  <c r="H112" i="76"/>
  <c r="H114" i="76" s="1"/>
  <c r="F21" i="73"/>
  <c r="H99" i="76"/>
  <c r="H98" i="76"/>
  <c r="H96" i="76"/>
  <c r="H95" i="76"/>
  <c r="H93" i="76"/>
  <c r="H92" i="76"/>
  <c r="H91" i="76"/>
  <c r="H90" i="76"/>
  <c r="H89" i="76"/>
  <c r="H88" i="76"/>
  <c r="H87" i="76"/>
  <c r="H86" i="76"/>
  <c r="H84" i="76"/>
  <c r="H83" i="76"/>
  <c r="H82" i="76"/>
  <c r="H81" i="76"/>
  <c r="H79" i="76"/>
  <c r="H78" i="76"/>
  <c r="H76" i="76"/>
  <c r="H75" i="76"/>
  <c r="F20" i="73"/>
  <c r="H67" i="76"/>
  <c r="H66" i="76"/>
  <c r="G62" i="76"/>
  <c r="G104" i="76" s="1"/>
  <c r="F62" i="76"/>
  <c r="F104" i="76" s="1"/>
  <c r="H61" i="76"/>
  <c r="H59" i="76"/>
  <c r="H52" i="76"/>
  <c r="H50" i="76"/>
  <c r="H48" i="76"/>
  <c r="H47" i="76"/>
  <c r="H46" i="76"/>
  <c r="H37" i="76"/>
  <c r="H40" i="76" s="1"/>
  <c r="H31" i="76"/>
  <c r="H29" i="76"/>
  <c r="H24" i="76"/>
  <c r="H23" i="76"/>
  <c r="H19" i="76"/>
  <c r="G10" i="73"/>
  <c r="F10" i="73"/>
  <c r="H53" i="76" l="1"/>
  <c r="G97" i="77"/>
  <c r="G140" i="76"/>
  <c r="G19" i="79"/>
  <c r="G32" i="73"/>
  <c r="H33" i="76"/>
  <c r="F17" i="74"/>
  <c r="G12" i="73"/>
  <c r="G15" i="73" s="1"/>
  <c r="G30" i="73"/>
  <c r="E17" i="74"/>
  <c r="F12" i="73"/>
  <c r="G47" i="73"/>
  <c r="F22" i="73"/>
  <c r="G11" i="74"/>
  <c r="F148" i="76"/>
  <c r="F30" i="73"/>
  <c r="H132" i="76"/>
  <c r="G53" i="81"/>
  <c r="G55" i="81" s="1"/>
  <c r="H101" i="76"/>
  <c r="G49" i="81"/>
  <c r="F49" i="77"/>
  <c r="G25" i="77"/>
  <c r="E49" i="77"/>
  <c r="F89" i="77"/>
  <c r="F161" i="76"/>
  <c r="G161" i="76"/>
  <c r="G31" i="79"/>
  <c r="G33" i="79" s="1"/>
  <c r="G39" i="79"/>
  <c r="H69" i="76"/>
  <c r="H71" i="76" s="1"/>
  <c r="H62" i="76"/>
  <c r="H123" i="76"/>
  <c r="H104" i="76" l="1"/>
  <c r="E21" i="81"/>
  <c r="G21" i="81" s="1"/>
  <c r="G32" i="81" s="1"/>
  <c r="F16" i="79"/>
  <c r="H55" i="76"/>
  <c r="E99" i="77"/>
  <c r="G17" i="74"/>
  <c r="F99" i="77"/>
  <c r="F101" i="77" s="1"/>
  <c r="G20" i="73"/>
  <c r="G22" i="73" s="1"/>
  <c r="G24" i="73" s="1"/>
  <c r="E16" i="74"/>
  <c r="E15" i="74"/>
  <c r="F16" i="74"/>
  <c r="F15" i="74"/>
  <c r="F106" i="76"/>
  <c r="G89" i="77"/>
  <c r="G49" i="77"/>
  <c r="G106" i="76"/>
  <c r="F163" i="76"/>
  <c r="E16" i="79" l="1"/>
  <c r="G16" i="79" s="1"/>
  <c r="G99" i="77"/>
  <c r="G101" i="77" s="1"/>
  <c r="G105" i="77" s="1"/>
  <c r="E101" i="77"/>
  <c r="E105" i="77" s="1"/>
  <c r="G16" i="74"/>
  <c r="E32" i="81"/>
  <c r="E34" i="81" s="1"/>
  <c r="F21" i="79"/>
  <c r="F23" i="79" s="1"/>
  <c r="F18" i="74"/>
  <c r="F19" i="74" s="1"/>
  <c r="F21" i="74" s="1"/>
  <c r="G15" i="74"/>
  <c r="F105" i="77"/>
  <c r="F27" i="75" s="1"/>
  <c r="H106" i="76"/>
  <c r="F164" i="76"/>
  <c r="E21" i="79" l="1"/>
  <c r="E23" i="79" s="1"/>
  <c r="E41" i="79" s="1"/>
  <c r="E45" i="79" s="1"/>
  <c r="E27" i="75"/>
  <c r="F57" i="81"/>
  <c r="F61" i="81" s="1"/>
  <c r="F62" i="81" s="1"/>
  <c r="E57" i="81"/>
  <c r="E61" i="81" s="1"/>
  <c r="G34" i="81"/>
  <c r="G57" i="81" s="1"/>
  <c r="F106" i="77"/>
  <c r="G106" i="77"/>
  <c r="G21" i="79"/>
  <c r="G23" i="79" s="1"/>
  <c r="G18" i="74"/>
  <c r="E18" i="74"/>
  <c r="E19" i="74" s="1"/>
  <c r="G61" i="81" l="1"/>
  <c r="G62" i="81" s="1"/>
  <c r="F41" i="79"/>
  <c r="F45" i="79" s="1"/>
  <c r="F46" i="79" s="1"/>
  <c r="G41" i="79"/>
  <c r="E46" i="79"/>
  <c r="E21" i="74"/>
  <c r="E106" i="77" s="1"/>
  <c r="G26" i="75"/>
  <c r="F25" i="75"/>
  <c r="E25" i="75"/>
  <c r="G24" i="75"/>
  <c r="G23" i="75"/>
  <c r="F20" i="75"/>
  <c r="E20" i="75"/>
  <c r="G18" i="75"/>
  <c r="G17" i="75"/>
  <c r="G16" i="75"/>
  <c r="F13" i="75"/>
  <c r="E13" i="75"/>
  <c r="G11" i="75"/>
  <c r="G10" i="75"/>
  <c r="G45" i="79" l="1"/>
  <c r="G46" i="79" s="1"/>
  <c r="G13" i="75"/>
  <c r="G20" i="75"/>
  <c r="G25" i="75"/>
  <c r="H46" i="73"/>
  <c r="H45" i="73"/>
  <c r="H32" i="73"/>
  <c r="H30" i="73"/>
  <c r="H29" i="73"/>
  <c r="H21" i="73"/>
  <c r="H20" i="73"/>
  <c r="H18" i="73"/>
  <c r="H22" i="73" l="1"/>
  <c r="G19" i="74"/>
  <c r="H47" i="73"/>
  <c r="F47" i="73"/>
  <c r="F39" i="73"/>
  <c r="F15" i="73"/>
  <c r="F35" i="73"/>
  <c r="H14" i="73"/>
  <c r="H13" i="73"/>
  <c r="H12" i="73"/>
  <c r="H11" i="73"/>
  <c r="H10" i="73"/>
  <c r="F41" i="73" l="1"/>
  <c r="F49" i="73" s="1"/>
  <c r="F24" i="73"/>
  <c r="H15" i="73"/>
  <c r="H24" i="73" s="1"/>
  <c r="F29" i="75" l="1"/>
  <c r="F31" i="75" s="1"/>
  <c r="F32" i="75" s="1"/>
  <c r="G21" i="74"/>
  <c r="E29" i="75"/>
  <c r="E31" i="75" s="1"/>
  <c r="E32" i="75" s="1"/>
  <c r="F50" i="73"/>
  <c r="G27" i="75" l="1"/>
  <c r="G29" i="75" s="1"/>
  <c r="G31" i="75" s="1"/>
  <c r="G32" i="75" s="1"/>
  <c r="G34" i="73"/>
  <c r="H138" i="76"/>
  <c r="G148" i="76"/>
  <c r="G163" i="76" s="1"/>
  <c r="G164" i="76" s="1"/>
  <c r="H140" i="76" l="1"/>
  <c r="H148" i="76" s="1"/>
  <c r="H163" i="76" s="1"/>
  <c r="H164" i="76" s="1"/>
  <c r="H34" i="73"/>
  <c r="H35" i="73" s="1"/>
  <c r="H41" i="73" s="1"/>
  <c r="H49" i="73" s="1"/>
  <c r="H50" i="73" s="1"/>
  <c r="G35" i="73"/>
  <c r="G41" i="73" s="1"/>
  <c r="G49" i="73" s="1"/>
  <c r="G50" i="73" s="1"/>
</calcChain>
</file>

<file path=xl/sharedStrings.xml><?xml version="1.0" encoding="utf-8"?>
<sst xmlns="http://schemas.openxmlformats.org/spreadsheetml/2006/main" count="395" uniqueCount="272">
  <si>
    <t>PORO POINT MANAGEMENT CORPORATION</t>
  </si>
  <si>
    <t>(A Member of The BCDA Group)</t>
  </si>
  <si>
    <t>Detailed Statement of Financial Position</t>
  </si>
  <si>
    <t>Variance</t>
  </si>
  <si>
    <t>ASSETS</t>
  </si>
  <si>
    <t>Current Assets</t>
  </si>
  <si>
    <t>Cash and Cash Equivalents</t>
  </si>
  <si>
    <t>Investments</t>
  </si>
  <si>
    <t>Receivables</t>
  </si>
  <si>
    <t>Inventories</t>
  </si>
  <si>
    <t>Total Current Assets</t>
  </si>
  <si>
    <t>Non-Current Assets</t>
  </si>
  <si>
    <t>Property, Plant and Equipment</t>
  </si>
  <si>
    <t>Total Non-Current Assets</t>
  </si>
  <si>
    <t>TOTAL ASSETS</t>
  </si>
  <si>
    <t>Current Liabilities</t>
  </si>
  <si>
    <t>Financial Liabilities</t>
  </si>
  <si>
    <t>Inter-Agency Payables</t>
  </si>
  <si>
    <t>Trust Liabilities</t>
  </si>
  <si>
    <t>Other Payables</t>
  </si>
  <si>
    <t>Total Current Liabilities</t>
  </si>
  <si>
    <t>Non-Current Liabilities</t>
  </si>
  <si>
    <t>Total Non-Current Liabilities</t>
  </si>
  <si>
    <t>TOTAL LIABILITIES</t>
  </si>
  <si>
    <t>Stockholders' Equity</t>
  </si>
  <si>
    <t>Share Capital</t>
  </si>
  <si>
    <t>Retained Earnings/(Deficit)</t>
  </si>
  <si>
    <t>Total Equity</t>
  </si>
  <si>
    <t>TOTAL LIABILITIES AND EQUITY</t>
  </si>
  <si>
    <t>Detailed Statement of Comprehensive Income</t>
  </si>
  <si>
    <t>Service and Business Income</t>
  </si>
  <si>
    <t>Personnel Services</t>
  </si>
  <si>
    <t>Maintenance and Other Operating Expenses</t>
  </si>
  <si>
    <t>Non-Cash Expenses</t>
  </si>
  <si>
    <t>Statement of Changes in Equity</t>
  </si>
  <si>
    <t>Balance at Beginning of the Period</t>
  </si>
  <si>
    <t>Balance at End of the Period</t>
  </si>
  <si>
    <t>Other Equity Investments</t>
  </si>
  <si>
    <t>Additions</t>
  </si>
  <si>
    <t>Deductions</t>
  </si>
  <si>
    <t>Retained Earnings</t>
  </si>
  <si>
    <t>Correction of prior year's errors</t>
  </si>
  <si>
    <t>Net Income (Loss)</t>
  </si>
  <si>
    <t>TOTAL EQUITY</t>
  </si>
  <si>
    <t>Authorized, issued and fully paid</t>
  </si>
  <si>
    <t>800,000 shares, Php100.00 par value</t>
  </si>
  <si>
    <t xml:space="preserve">As restated </t>
  </si>
  <si>
    <t>Cash Flow from Operating Activities</t>
  </si>
  <si>
    <t>Cash Inflow</t>
  </si>
  <si>
    <t>Total Cash Inflow</t>
  </si>
  <si>
    <t>Cash Outflow</t>
  </si>
  <si>
    <t>Total Cash Outflow</t>
  </si>
  <si>
    <t>Net Cash Provided by (used in) Operating Activities</t>
  </si>
  <si>
    <t>Cash Flow from Investing Activities</t>
  </si>
  <si>
    <t>Net Cash Provided by (used in) Investing Activities</t>
  </si>
  <si>
    <t>Cash Flow from Financing Activities</t>
  </si>
  <si>
    <t>Net Cash Provided by (used in) Financing Activities</t>
  </si>
  <si>
    <t>Net Increase in Cash and Cash Equivalents</t>
  </si>
  <si>
    <t>Add: Cash and Cash Equivalents, Beginning</t>
  </si>
  <si>
    <t>Cash and Cash Equivalents, Ending</t>
  </si>
  <si>
    <t>See Accompanying Notes to Financial Statements.</t>
  </si>
  <si>
    <t>Investment Property</t>
  </si>
  <si>
    <t>Collection of Receivables</t>
  </si>
  <si>
    <t>Payment of Dividends</t>
  </si>
  <si>
    <t>Note</t>
  </si>
  <si>
    <t xml:space="preserve">LIABILITIES </t>
  </si>
  <si>
    <t>EQUITY</t>
  </si>
  <si>
    <t>Dividends</t>
  </si>
  <si>
    <t>Income Tax Expense/(Benefit)</t>
  </si>
  <si>
    <t>Total Expenses</t>
  </si>
  <si>
    <t>Profit/(Loss) Before Tax</t>
  </si>
  <si>
    <t>Comprehensive Income/(Loss)</t>
  </si>
  <si>
    <t>Condensed Statement of Financial Position</t>
  </si>
  <si>
    <t>Notes</t>
  </si>
  <si>
    <t>Total</t>
  </si>
  <si>
    <t>Loans and Receivables Account</t>
  </si>
  <si>
    <t>Interest Receivable</t>
  </si>
  <si>
    <t>Inter-Agency Receivables</t>
  </si>
  <si>
    <t>Due from Parent Corporation</t>
  </si>
  <si>
    <t>Other Receivables</t>
  </si>
  <si>
    <t>Due from Officers and Employees</t>
  </si>
  <si>
    <t>Inventory Held for Consumption</t>
  </si>
  <si>
    <t>Prepayments</t>
  </si>
  <si>
    <t>Advances to Contractors</t>
  </si>
  <si>
    <t>Other Prepayments</t>
  </si>
  <si>
    <t>Deposits</t>
  </si>
  <si>
    <t>Guaranty deposits</t>
  </si>
  <si>
    <t>Withholding Tax at Source</t>
  </si>
  <si>
    <t>Investments in Joint Venture</t>
  </si>
  <si>
    <t>Other Investments</t>
  </si>
  <si>
    <t>Investment in Stocks</t>
  </si>
  <si>
    <t>Land and Buildings</t>
  </si>
  <si>
    <t>Investment Property, Land</t>
  </si>
  <si>
    <t>Investment Property, Buildings</t>
  </si>
  <si>
    <t>Construction in Progress</t>
  </si>
  <si>
    <t>Construction in Progress-Investment Property, Buildings</t>
  </si>
  <si>
    <t>Land Improvements</t>
  </si>
  <si>
    <t>Other Land Improvements</t>
  </si>
  <si>
    <t>Accumulated Depreciation-Other Land Improvements</t>
  </si>
  <si>
    <t>Infrastructure Assets</t>
  </si>
  <si>
    <t>Power Supply Systems</t>
  </si>
  <si>
    <t>Accumulated Depreciation-Power Supply Systems</t>
  </si>
  <si>
    <t>Buildings and Other Structures</t>
  </si>
  <si>
    <t>Buildings</t>
  </si>
  <si>
    <t>Accumulated Depreciation-Buildings</t>
  </si>
  <si>
    <t>Other Structures</t>
  </si>
  <si>
    <t>Accumulated Depreciation-Other Structures</t>
  </si>
  <si>
    <t>Machinery and Equipment</t>
  </si>
  <si>
    <t>Office Equipment</t>
  </si>
  <si>
    <t>Accumulated Depreciation-Office Equipment</t>
  </si>
  <si>
    <t>Information and Communication Technology (ICT) Equipment</t>
  </si>
  <si>
    <t>Accumulated Depreciation-ICT Equipment</t>
  </si>
  <si>
    <t>Communication Equipment</t>
  </si>
  <si>
    <t>Accumulated Depreciation-Communication Equipment</t>
  </si>
  <si>
    <t>Technical and Scientific Equipment</t>
  </si>
  <si>
    <t>Accumulated Depreciation-Technical and Scientific Equipment</t>
  </si>
  <si>
    <t>Furniture, Fixtures and Books</t>
  </si>
  <si>
    <t>Furniture and Fixtures</t>
  </si>
  <si>
    <t>Accumulated Depreciation-Furniture and Fixtures</t>
  </si>
  <si>
    <t>Transportation Equipment</t>
  </si>
  <si>
    <t>Motor Vehicle</t>
  </si>
  <si>
    <t>Accumulated Depreciation-Motor Vehicle</t>
  </si>
  <si>
    <t>LIABILITIES AND EQUITY</t>
  </si>
  <si>
    <t>Accounts Payable</t>
  </si>
  <si>
    <t>Due to BIR</t>
  </si>
  <si>
    <t>Due to Pag-ibig</t>
  </si>
  <si>
    <t>Due to Philhealth</t>
  </si>
  <si>
    <t>Due to SSS</t>
  </si>
  <si>
    <t>Due to Parent Corporation</t>
  </si>
  <si>
    <t>Income Tax Payable</t>
  </si>
  <si>
    <t>Customer's Deposit Payable</t>
  </si>
  <si>
    <t>Equity</t>
  </si>
  <si>
    <t>Other Equity Instruments</t>
  </si>
  <si>
    <t>See Accompanying Notes to Financial Statements</t>
  </si>
  <si>
    <t>Service Income</t>
  </si>
  <si>
    <t>Permit Fees</t>
  </si>
  <si>
    <t>Business Income</t>
  </si>
  <si>
    <t>Management Fees</t>
  </si>
  <si>
    <t>Interest Income</t>
  </si>
  <si>
    <t>Expenses</t>
  </si>
  <si>
    <t>Salaries and Wages</t>
  </si>
  <si>
    <t>Salaries and Wages-Regular</t>
  </si>
  <si>
    <t>Other Compensation</t>
  </si>
  <si>
    <t>Personnel Economic Relief Allowance (PERA)</t>
  </si>
  <si>
    <t>Representation Allowance (RA)</t>
  </si>
  <si>
    <t>Transportation Allowance (TA)</t>
  </si>
  <si>
    <t>Overtime and Night Pay</t>
  </si>
  <si>
    <t>Directors and Committee Members' Fees</t>
  </si>
  <si>
    <t>Personnel Benefit Contributions</t>
  </si>
  <si>
    <t>Pag-ibig Contributions</t>
  </si>
  <si>
    <t>Philhealth Contributions</t>
  </si>
  <si>
    <t>Employees Compensation Insurance Premiums</t>
  </si>
  <si>
    <t>Retirement and Life Insurance Premiums</t>
  </si>
  <si>
    <t>Terminal Leave Benefits</t>
  </si>
  <si>
    <t>Travelling Expenses</t>
  </si>
  <si>
    <t>Travelling Expenses-Local</t>
  </si>
  <si>
    <t>Training and Scholarship Expenses</t>
  </si>
  <si>
    <t>Training Expenses</t>
  </si>
  <si>
    <t>Supplies and Materials Expenses</t>
  </si>
  <si>
    <t>Utility Expenses</t>
  </si>
  <si>
    <t>Electricity Expenses</t>
  </si>
  <si>
    <t>Communication Expenses</t>
  </si>
  <si>
    <t>Extraordinary and Miscellaneous Expenses</t>
  </si>
  <si>
    <t>Professional Services</t>
  </si>
  <si>
    <t>Auditing Services</t>
  </si>
  <si>
    <t>General Services</t>
  </si>
  <si>
    <t>Janitorial Services</t>
  </si>
  <si>
    <t>Security Services</t>
  </si>
  <si>
    <t>Repair and Maintenance</t>
  </si>
  <si>
    <t>Repair and Maintenance- Transportation Equipment</t>
  </si>
  <si>
    <t>Taxes, Insurance Premiums and Other Fees</t>
  </si>
  <si>
    <t>Taxes, Duties and Licenses</t>
  </si>
  <si>
    <t>Insurance Expenses</t>
  </si>
  <si>
    <t>Other Maintenance and Operating Expenses</t>
  </si>
  <si>
    <t>Advertising, Promotional and Marketing Expenses</t>
  </si>
  <si>
    <t>Representation Expenses</t>
  </si>
  <si>
    <t>Subscription Expenses</t>
  </si>
  <si>
    <t>Total Maintenance and Other Operating Expenses</t>
  </si>
  <si>
    <t>Depreciation Expense</t>
  </si>
  <si>
    <t>NET INCOME/(LOSS) BEFORE TAX</t>
  </si>
  <si>
    <t>NET PROFIT/(LOSS) AFTER TAX</t>
  </si>
  <si>
    <t>Other Current Assets</t>
  </si>
  <si>
    <t>Investments in Joint Ventures</t>
  </si>
  <si>
    <t>Cash in Bank-Local Currency</t>
  </si>
  <si>
    <t>Cash in Bank-Local Currency, Current Account</t>
  </si>
  <si>
    <t>Investments in Time Deposits-Local Currency</t>
  </si>
  <si>
    <t>Accounts Receivables</t>
  </si>
  <si>
    <t>Guaranty/Security Deposits Payable</t>
  </si>
  <si>
    <t>Condensed Statement of Comprehensive Income</t>
  </si>
  <si>
    <t>Income</t>
  </si>
  <si>
    <t>Total Income</t>
  </si>
  <si>
    <t>Total Salaries and Wages</t>
  </si>
  <si>
    <t>Total Other Compensation</t>
  </si>
  <si>
    <t>Total Personnel Benefit Contributions</t>
  </si>
  <si>
    <t>Other Personnel Benefits</t>
  </si>
  <si>
    <t>Total Personnel Services</t>
  </si>
  <si>
    <t>Office Supplies Expenses</t>
  </si>
  <si>
    <t>Confidential, Intelligence and Extraordinary Expenses</t>
  </si>
  <si>
    <t>Repair and Maintenance-Furnitures and Fixtures</t>
  </si>
  <si>
    <t>Total Other Personnel Benefits</t>
  </si>
  <si>
    <t>Depreciation-Building and Other Structures</t>
  </si>
  <si>
    <t>Depreciation-Machinery and Equipment</t>
  </si>
  <si>
    <t>Depreciation-Transportation Equipment</t>
  </si>
  <si>
    <t>Depreciation-Furniture, Fixtures and Books</t>
  </si>
  <si>
    <t>Postage and Courier Services</t>
  </si>
  <si>
    <t>Telephone Expenses</t>
  </si>
  <si>
    <t>Internet Subscription Expenses</t>
  </si>
  <si>
    <t>Condensed Statement of Cash Flows</t>
  </si>
  <si>
    <t>Detailed Statement of Cash Flows</t>
  </si>
  <si>
    <t>Collection of Income/Revenue</t>
  </si>
  <si>
    <t>Collection of service and business income</t>
  </si>
  <si>
    <t>Adjustments</t>
  </si>
  <si>
    <t>Payment of Expenses</t>
  </si>
  <si>
    <t>Other adjustments-Investment in time deposit acct.</t>
  </si>
  <si>
    <t>Remittance of Personnel Benefit Contributions and Mandatory Deductions</t>
  </si>
  <si>
    <t>Receipt of Interest Earned</t>
  </si>
  <si>
    <t>Purchase/Construction of Property, Plant and Equipment</t>
  </si>
  <si>
    <t>Receipt of Inter-Agency Fund Transfers</t>
  </si>
  <si>
    <t>Receipt of funds for other inter-agency transactions</t>
  </si>
  <si>
    <t>Payment of personnel services</t>
  </si>
  <si>
    <t>Payment of maintenance and other operating expenses</t>
  </si>
  <si>
    <t>Payment of inventories</t>
  </si>
  <si>
    <t>Purchase of Inventories</t>
  </si>
  <si>
    <t>Remittance of taxes withheld</t>
  </si>
  <si>
    <t>Remittance of SSS/Pag-ibig/Philhealth</t>
  </si>
  <si>
    <t>Construction of Buildings and Other Structures</t>
  </si>
  <si>
    <t>Payment of Accounts Payable</t>
  </si>
  <si>
    <t>Purchase of Machinery and Equipment</t>
  </si>
  <si>
    <t>Purchase of Transportation Equipment</t>
  </si>
  <si>
    <t>Purchase/Construction of Investment Property</t>
  </si>
  <si>
    <t>Construction of Investment Property</t>
  </si>
  <si>
    <t>Purchase of Furniture, Fixtures and Books</t>
  </si>
  <si>
    <t>Advances</t>
  </si>
  <si>
    <t>Advances to Officers and Employees</t>
  </si>
  <si>
    <t>Receipt of proceeds from termination of investment account</t>
  </si>
  <si>
    <t>Receipt of proceeds from termination of investment acct.</t>
  </si>
  <si>
    <t>Other Business Income</t>
  </si>
  <si>
    <t>Total Non-Cash Expenses</t>
  </si>
  <si>
    <t>Collection of receivables</t>
  </si>
  <si>
    <t>Petty Cash Fund</t>
  </si>
  <si>
    <t>Fixed Asset Accrual</t>
  </si>
  <si>
    <t>Cash Gift</t>
  </si>
  <si>
    <t>Intra-Agency Receivables</t>
  </si>
  <si>
    <t>Due from Government Corporations</t>
  </si>
  <si>
    <t xml:space="preserve">Due from National Government Agencies </t>
  </si>
  <si>
    <t>Construction Materials Inventory</t>
  </si>
  <si>
    <t>Other Supplies and Materials Inventory</t>
  </si>
  <si>
    <t>Due to Officers and Employees</t>
  </si>
  <si>
    <t>Clothing/Uniform Allowance</t>
  </si>
  <si>
    <t>Mid-year Bonus</t>
  </si>
  <si>
    <t>Year-End Bonus</t>
  </si>
  <si>
    <t>Fuel, Oil and Lubricants Expenses</t>
  </si>
  <si>
    <t xml:space="preserve">Prepaid Insurance </t>
  </si>
  <si>
    <t>Other adjustments-Termination of time deposit acct.</t>
  </si>
  <si>
    <t>Cash Collecting Officer</t>
  </si>
  <si>
    <t>Intra-Agency Payables</t>
  </si>
  <si>
    <t>Due to Other Funds</t>
  </si>
  <si>
    <t>Provident/Welfare Contribution</t>
  </si>
  <si>
    <t>Other Bonuses and Allowances</t>
  </si>
  <si>
    <t>Other Professional Services</t>
  </si>
  <si>
    <t>Unearned Revenue</t>
  </si>
  <si>
    <t>Other Unearned Revenue</t>
  </si>
  <si>
    <t>Miscellaneous Income</t>
  </si>
  <si>
    <t>Unearned Income</t>
  </si>
  <si>
    <t>Construction in Progress-Buildings and Other Structures</t>
  </si>
  <si>
    <t>Semi-Expendable Furniture, Fixtures and Books Expenses</t>
  </si>
  <si>
    <t>Repair and Maintenance- Machinery and Equipment</t>
  </si>
  <si>
    <t>Repair and Maintenance- Buildings &amp; Other Structures</t>
  </si>
  <si>
    <t>Time Deposits- Local Currency</t>
  </si>
  <si>
    <t>Office Supplies Inventory</t>
  </si>
  <si>
    <t>As of March 31, 2024</t>
  </si>
  <si>
    <t>Semi-Expendable Machinery and Equipment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</si>
</sst>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###,###,##0.00;\(###,###,##0.00\)"/>
    <numFmt numFmtId="166" formatCode="#.##%"/>
    <numFmt numFmtId="167" formatCode="#,##0.00000000_);\(#,##0.00000000\)"/>
    <numFmt numFmtId="168" formatCode="#,##0.0000000000000_);\(#,##0.0000000000000\)"/>
    <numFmt numFmtId="169" formatCode="###,###,##0.000;\(###,###,##0.000\)"/>
    <numFmt numFmtId="170" formatCode="###,###,##0.0;\(###,###,##0.0\)"/>
  </numFmts>
  <fonts count="47" x14ac:knownFonts="1">
    <font>
      <sz val="10"/>
      <name val="Tahom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0"/>
      <name val="Tahoma"/>
      <family val="2"/>
    </font>
    <font>
      <sz val="10"/>
      <name val="Arial"/>
      <family val="2"/>
    </font>
    <font>
      <b/>
      <sz val="9"/>
      <name val="Arial"/>
      <family val="2"/>
    </font>
    <font>
      <sz val="10"/>
      <name val="Tahoma"/>
      <family val="2"/>
    </font>
    <font>
      <b/>
      <i/>
      <sz val="9"/>
      <name val="Arial"/>
      <family val="2"/>
    </font>
    <font>
      <sz val="9"/>
      <name val="Arial"/>
      <family val="2"/>
    </font>
    <font>
      <sz val="10"/>
      <name val="Tahoma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12"/>
      <name val="Arial"/>
      <family val="2"/>
    </font>
    <font>
      <sz val="10"/>
      <name val="Tahoma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10"/>
      <name val="Tahoma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0"/>
      <name val="Tahoma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10"/>
      <name val="Tahoma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12"/>
      <name val="Tahoma"/>
      <family val="2"/>
    </font>
    <font>
      <sz val="10"/>
      <name val="Tahoma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2"/>
      <name val="Tahoma"/>
      <family val="2"/>
    </font>
    <font>
      <b/>
      <sz val="11.5"/>
      <name val="Arial"/>
      <family val="2"/>
    </font>
    <font>
      <sz val="11.5"/>
      <name val="Arial"/>
      <family val="2"/>
    </font>
    <font>
      <b/>
      <i/>
      <sz val="11.5"/>
      <name val="Arial"/>
      <family val="2"/>
    </font>
    <font>
      <sz val="11.5"/>
      <name val="Tahoma"/>
      <family val="2"/>
    </font>
    <font>
      <i/>
      <sz val="11.5"/>
      <name val="Arial"/>
      <family val="2"/>
    </font>
  </fonts>
  <fills count="3">
    <fill>
      <patternFill patternType="none"/>
    </fill>
    <fill>
      <patternFill patternType="gray125"/>
    </fill>
    <fill>
      <patternFill patternType="none">
        <fgColor auto="1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0">
    <xf numFmtId="0" fontId="0" fillId="0" borderId="0" applyAlignment="0"/>
    <xf numFmtId="0" fontId="3" fillId="2" borderId="1" applyAlignment="0"/>
    <xf numFmtId="0" fontId="3" fillId="2" borderId="1">
      <alignment horizontal="left" vertical="top" wrapText="1"/>
    </xf>
    <xf numFmtId="0" fontId="4" fillId="2" borderId="1" applyAlignment="0"/>
    <xf numFmtId="0" fontId="4" fillId="2" borderId="1">
      <alignment horizontal="left" vertical="top" wrapText="1"/>
    </xf>
    <xf numFmtId="0" fontId="5" fillId="2" borderId="1" applyAlignment="0"/>
    <xf numFmtId="0" fontId="5" fillId="2" borderId="1">
      <alignment horizontal="left" vertical="top" wrapText="1"/>
    </xf>
    <xf numFmtId="0" fontId="6" fillId="2" borderId="1" applyAlignment="0"/>
    <xf numFmtId="0" fontId="6" fillId="2" borderId="1">
      <alignment horizontal="left" vertical="top" wrapText="1"/>
    </xf>
    <xf numFmtId="0" fontId="3" fillId="2" borderId="1">
      <alignment horizontal="right" vertical="top" wrapText="1"/>
    </xf>
    <xf numFmtId="0" fontId="7" fillId="0" borderId="2"/>
    <xf numFmtId="0" fontId="5" fillId="2" borderId="1">
      <alignment horizontal="right" vertical="top" wrapText="1"/>
    </xf>
    <xf numFmtId="165" fontId="5" fillId="2" borderId="1">
      <alignment horizontal="right" vertical="top" wrapText="1"/>
    </xf>
    <xf numFmtId="0" fontId="7" fillId="0" borderId="3"/>
    <xf numFmtId="165" fontId="3" fillId="2" borderId="1">
      <alignment horizontal="right" vertical="top" wrapText="1"/>
    </xf>
    <xf numFmtId="164" fontId="7" fillId="0" borderId="0" applyFont="0" applyFill="0" applyBorder="0" applyAlignment="0" applyProtection="0"/>
    <xf numFmtId="43" fontId="8" fillId="2" borderId="1" applyFont="0" applyFill="0" applyBorder="0" applyAlignment="0" applyProtection="0"/>
    <xf numFmtId="0" fontId="9" fillId="2" borderId="1">
      <alignment horizontal="left" vertical="top" wrapText="1"/>
    </xf>
    <xf numFmtId="0" fontId="10" fillId="2" borderId="1" applyAlignment="0"/>
    <xf numFmtId="0" fontId="11" fillId="2" borderId="1">
      <alignment horizontal="left" vertical="top" wrapText="1"/>
    </xf>
    <xf numFmtId="0" fontId="9" fillId="2" borderId="1">
      <alignment horizontal="right" vertical="top" wrapText="1"/>
    </xf>
    <xf numFmtId="0" fontId="10" fillId="2" borderId="2"/>
    <xf numFmtId="0" fontId="12" fillId="2" borderId="1">
      <alignment horizontal="left" vertical="top" wrapText="1"/>
    </xf>
    <xf numFmtId="165" fontId="12" fillId="2" borderId="1">
      <alignment horizontal="right" vertical="top" wrapText="1"/>
    </xf>
    <xf numFmtId="0" fontId="10" fillId="2" borderId="3"/>
    <xf numFmtId="165" fontId="9" fillId="2" borderId="1">
      <alignment horizontal="right" vertical="top" wrapText="1"/>
    </xf>
    <xf numFmtId="0" fontId="8" fillId="2" borderId="1"/>
    <xf numFmtId="0" fontId="2" fillId="2" borderId="1"/>
    <xf numFmtId="43" fontId="2" fillId="2" borderId="1" applyFont="0" applyFill="0" applyBorder="0" applyAlignment="0" applyProtection="0"/>
    <xf numFmtId="0" fontId="14" fillId="2" borderId="1">
      <alignment horizontal="left" vertical="top" wrapText="1"/>
    </xf>
    <xf numFmtId="0" fontId="13" fillId="2" borderId="1" applyAlignment="0"/>
    <xf numFmtId="0" fontId="15" fillId="2" borderId="1">
      <alignment horizontal="left" vertical="top" wrapText="1"/>
    </xf>
    <xf numFmtId="0" fontId="14" fillId="2" borderId="1">
      <alignment horizontal="right" vertical="top" wrapText="1"/>
    </xf>
    <xf numFmtId="0" fontId="13" fillId="2" borderId="2"/>
    <xf numFmtId="0" fontId="16" fillId="2" borderId="1">
      <alignment horizontal="left" vertical="top" wrapText="1"/>
    </xf>
    <xf numFmtId="165" fontId="16" fillId="2" borderId="1">
      <alignment horizontal="right" vertical="top" wrapText="1"/>
    </xf>
    <xf numFmtId="166" fontId="16" fillId="2" borderId="1">
      <alignment horizontal="right" vertical="top" wrapText="1"/>
    </xf>
    <xf numFmtId="0" fontId="13" fillId="2" borderId="3"/>
    <xf numFmtId="165" fontId="14" fillId="2" borderId="1">
      <alignment horizontal="right" vertical="top" wrapText="1"/>
    </xf>
    <xf numFmtId="166" fontId="14" fillId="2" borderId="1">
      <alignment horizontal="right" vertical="top" wrapText="1"/>
    </xf>
    <xf numFmtId="0" fontId="13" fillId="2" borderId="1" applyAlignment="0"/>
    <xf numFmtId="0" fontId="7" fillId="2" borderId="1" applyAlignment="0"/>
    <xf numFmtId="0" fontId="7" fillId="2" borderId="2"/>
    <xf numFmtId="166" fontId="5" fillId="2" borderId="1">
      <alignment horizontal="right" vertical="top" wrapText="1"/>
    </xf>
    <xf numFmtId="0" fontId="7" fillId="2" borderId="3"/>
    <xf numFmtId="165" fontId="3" fillId="2" borderId="1">
      <alignment horizontal="right" vertical="top" wrapText="1"/>
    </xf>
    <xf numFmtId="166" fontId="3" fillId="2" borderId="1">
      <alignment horizontal="right" vertical="top" wrapText="1"/>
    </xf>
    <xf numFmtId="0" fontId="3" fillId="2" borderId="1">
      <alignment horizontal="left" vertical="top" wrapText="1"/>
    </xf>
    <xf numFmtId="0" fontId="7" fillId="2" borderId="1" applyAlignment="0"/>
    <xf numFmtId="0" fontId="6" fillId="2" borderId="1">
      <alignment horizontal="left" vertical="top" wrapText="1"/>
    </xf>
    <xf numFmtId="0" fontId="3" fillId="2" borderId="1">
      <alignment horizontal="right" vertical="top" wrapText="1"/>
    </xf>
    <xf numFmtId="0" fontId="7" fillId="2" borderId="2"/>
    <xf numFmtId="0" fontId="5" fillId="2" borderId="1">
      <alignment horizontal="left" vertical="top" wrapText="1"/>
    </xf>
    <xf numFmtId="165" fontId="5" fillId="2" borderId="1">
      <alignment horizontal="right" vertical="top" wrapText="1"/>
    </xf>
    <xf numFmtId="166" fontId="5" fillId="2" borderId="1">
      <alignment horizontal="right" vertical="top" wrapText="1"/>
    </xf>
    <xf numFmtId="0" fontId="7" fillId="2" borderId="3"/>
    <xf numFmtId="0" fontId="19" fillId="2" borderId="1">
      <alignment horizontal="left" vertical="top" wrapText="1"/>
    </xf>
    <xf numFmtId="0" fontId="18" fillId="2" borderId="1" applyAlignment="0"/>
    <xf numFmtId="0" fontId="20" fillId="2" borderId="1">
      <alignment horizontal="left" vertical="top" wrapText="1"/>
    </xf>
    <xf numFmtId="0" fontId="19" fillId="2" borderId="1">
      <alignment horizontal="right" vertical="top" wrapText="1"/>
    </xf>
    <xf numFmtId="0" fontId="18" fillId="2" borderId="2"/>
    <xf numFmtId="0" fontId="21" fillId="2" borderId="1">
      <alignment horizontal="left" vertical="top" wrapText="1"/>
    </xf>
    <xf numFmtId="165" fontId="21" fillId="2" borderId="1">
      <alignment horizontal="right" vertical="top" wrapText="1"/>
    </xf>
    <xf numFmtId="166" fontId="21" fillId="2" borderId="1">
      <alignment horizontal="right" vertical="top" wrapText="1"/>
    </xf>
    <xf numFmtId="0" fontId="18" fillId="2" borderId="3"/>
    <xf numFmtId="165" fontId="19" fillId="2" borderId="1">
      <alignment horizontal="right" vertical="top" wrapText="1"/>
    </xf>
    <xf numFmtId="166" fontId="19" fillId="2" borderId="1">
      <alignment horizontal="right" vertical="top" wrapText="1"/>
    </xf>
    <xf numFmtId="0" fontId="23" fillId="2" borderId="1">
      <alignment horizontal="left" vertical="top" wrapText="1"/>
    </xf>
    <xf numFmtId="0" fontId="22" fillId="2" borderId="1" applyAlignment="0"/>
    <xf numFmtId="0" fontId="24" fillId="2" borderId="1">
      <alignment horizontal="left" vertical="top" wrapText="1"/>
    </xf>
    <xf numFmtId="0" fontId="23" fillId="2" borderId="1">
      <alignment horizontal="right" vertical="top" wrapText="1"/>
    </xf>
    <xf numFmtId="0" fontId="22" fillId="2" borderId="2"/>
    <xf numFmtId="0" fontId="25" fillId="2" borderId="1">
      <alignment horizontal="left" vertical="top" wrapText="1"/>
    </xf>
    <xf numFmtId="165" fontId="25" fillId="2" borderId="1">
      <alignment horizontal="right" vertical="top" wrapText="1"/>
    </xf>
    <xf numFmtId="166" fontId="25" fillId="2" borderId="1">
      <alignment horizontal="right" vertical="top" wrapText="1"/>
    </xf>
    <xf numFmtId="0" fontId="22" fillId="2" borderId="3"/>
    <xf numFmtId="165" fontId="23" fillId="2" borderId="1">
      <alignment horizontal="right" vertical="top" wrapText="1"/>
    </xf>
    <xf numFmtId="166" fontId="23" fillId="2" borderId="1">
      <alignment horizontal="right" vertical="top" wrapText="1"/>
    </xf>
    <xf numFmtId="0" fontId="22" fillId="2" borderId="3"/>
    <xf numFmtId="165" fontId="23" fillId="2" borderId="1">
      <alignment horizontal="right" vertical="top" wrapText="1"/>
    </xf>
    <xf numFmtId="0" fontId="29" fillId="2" borderId="1">
      <alignment horizontal="left" vertical="top" wrapText="1"/>
    </xf>
    <xf numFmtId="0" fontId="28" fillId="2" borderId="1" applyAlignment="0"/>
    <xf numFmtId="0" fontId="30" fillId="2" borderId="1">
      <alignment horizontal="left" vertical="top" wrapText="1"/>
    </xf>
    <xf numFmtId="0" fontId="29" fillId="2" borderId="1">
      <alignment horizontal="right" vertical="top" wrapText="1"/>
    </xf>
    <xf numFmtId="0" fontId="28" fillId="2" borderId="2"/>
    <xf numFmtId="0" fontId="31" fillId="2" borderId="1">
      <alignment horizontal="left" vertical="top" wrapText="1"/>
    </xf>
    <xf numFmtId="165" fontId="31" fillId="2" borderId="1">
      <alignment horizontal="right" vertical="top" wrapText="1"/>
    </xf>
    <xf numFmtId="166" fontId="31" fillId="2" borderId="1">
      <alignment horizontal="right" vertical="top" wrapText="1"/>
    </xf>
    <xf numFmtId="0" fontId="28" fillId="2" borderId="3"/>
    <xf numFmtId="165" fontId="29" fillId="2" borderId="1">
      <alignment horizontal="right" vertical="top" wrapText="1"/>
    </xf>
    <xf numFmtId="166" fontId="29" fillId="2" borderId="1">
      <alignment horizontal="right" vertical="top" wrapText="1"/>
    </xf>
    <xf numFmtId="0" fontId="33" fillId="2" borderId="1">
      <alignment horizontal="left" vertical="top" wrapText="1"/>
    </xf>
    <xf numFmtId="0" fontId="32" fillId="2" borderId="1" applyAlignment="0"/>
    <xf numFmtId="0" fontId="34" fillId="2" borderId="1">
      <alignment horizontal="left" vertical="top" wrapText="1"/>
    </xf>
    <xf numFmtId="0" fontId="33" fillId="2" borderId="1">
      <alignment horizontal="right" vertical="top" wrapText="1"/>
    </xf>
    <xf numFmtId="0" fontId="32" fillId="2" borderId="2"/>
    <xf numFmtId="0" fontId="35" fillId="2" borderId="1">
      <alignment horizontal="left" vertical="top" wrapText="1"/>
    </xf>
    <xf numFmtId="165" fontId="35" fillId="2" borderId="1">
      <alignment horizontal="right" vertical="top" wrapText="1"/>
    </xf>
    <xf numFmtId="166" fontId="35" fillId="2" borderId="1">
      <alignment horizontal="right" vertical="top" wrapText="1"/>
    </xf>
    <xf numFmtId="0" fontId="32" fillId="2" borderId="3"/>
    <xf numFmtId="165" fontId="33" fillId="2" borderId="1">
      <alignment horizontal="right" vertical="top" wrapText="1"/>
    </xf>
    <xf numFmtId="166" fontId="33" fillId="2" borderId="1">
      <alignment horizontal="right" vertical="top" wrapText="1"/>
    </xf>
    <xf numFmtId="0" fontId="38" fillId="2" borderId="1">
      <alignment horizontal="left" vertical="top" wrapText="1"/>
    </xf>
    <xf numFmtId="0" fontId="37" fillId="2" borderId="1" applyAlignment="0"/>
    <xf numFmtId="0" fontId="39" fillId="2" borderId="1">
      <alignment horizontal="left" vertical="top" wrapText="1"/>
    </xf>
    <xf numFmtId="0" fontId="38" fillId="2" borderId="1">
      <alignment horizontal="right" vertical="top" wrapText="1"/>
    </xf>
    <xf numFmtId="0" fontId="37" fillId="2" borderId="2"/>
    <xf numFmtId="0" fontId="40" fillId="2" borderId="1">
      <alignment horizontal="left" vertical="top" wrapText="1"/>
    </xf>
    <xf numFmtId="165" fontId="40" fillId="2" borderId="1">
      <alignment horizontal="right" vertical="top" wrapText="1"/>
    </xf>
    <xf numFmtId="166" fontId="40" fillId="2" borderId="1">
      <alignment horizontal="right" vertical="top" wrapText="1"/>
    </xf>
    <xf numFmtId="0" fontId="37" fillId="2" borderId="3"/>
    <xf numFmtId="165" fontId="38" fillId="2" borderId="1">
      <alignment horizontal="right" vertical="top" wrapText="1"/>
    </xf>
    <xf numFmtId="166" fontId="38" fillId="2" borderId="1">
      <alignment horizontal="right" vertical="top" wrapText="1"/>
    </xf>
    <xf numFmtId="0" fontId="7" fillId="2" borderId="3"/>
    <xf numFmtId="165" fontId="3" fillId="2" borderId="1">
      <alignment horizontal="right" vertical="top" wrapText="1"/>
    </xf>
    <xf numFmtId="164" fontId="7" fillId="2" borderId="1" applyFont="0" applyFill="0" applyBorder="0" applyAlignment="0" applyProtection="0"/>
    <xf numFmtId="0" fontId="7" fillId="2" borderId="1" applyAlignment="0"/>
    <xf numFmtId="0" fontId="7" fillId="2" borderId="1" applyAlignment="0"/>
    <xf numFmtId="0" fontId="38" fillId="2" borderId="1">
      <alignment horizontal="left" vertical="top" wrapText="1"/>
    </xf>
    <xf numFmtId="0" fontId="37" fillId="2" borderId="1" applyAlignment="0"/>
    <xf numFmtId="0" fontId="39" fillId="2" borderId="1">
      <alignment horizontal="left" vertical="top" wrapText="1"/>
    </xf>
    <xf numFmtId="0" fontId="38" fillId="2" borderId="1">
      <alignment horizontal="right" vertical="top" wrapText="1"/>
    </xf>
    <xf numFmtId="0" fontId="37" fillId="2" borderId="2"/>
    <xf numFmtId="0" fontId="40" fillId="2" borderId="1">
      <alignment horizontal="left" vertical="top" wrapText="1"/>
    </xf>
    <xf numFmtId="165" fontId="40" fillId="2" borderId="1">
      <alignment horizontal="right" vertical="top" wrapText="1"/>
    </xf>
    <xf numFmtId="0" fontId="37" fillId="2" borderId="3"/>
    <xf numFmtId="165" fontId="38" fillId="2" borderId="1">
      <alignment horizontal="right" vertical="top" wrapText="1"/>
    </xf>
    <xf numFmtId="0" fontId="1" fillId="2" borderId="1"/>
    <xf numFmtId="0" fontId="37" fillId="2" borderId="3"/>
    <xf numFmtId="165" fontId="38" fillId="2" borderId="1">
      <alignment horizontal="right" vertical="top" wrapText="1"/>
    </xf>
  </cellStyleXfs>
  <cellXfs count="292">
    <xf numFmtId="0" fontId="0" fillId="0" borderId="0" xfId="0"/>
    <xf numFmtId="0" fontId="17" fillId="2" borderId="1" xfId="30" applyFont="1" applyAlignment="1"/>
    <xf numFmtId="0" fontId="26" fillId="2" borderId="1" xfId="68" applyFont="1" applyAlignment="1">
      <alignment horizontal="center"/>
    </xf>
    <xf numFmtId="0" fontId="26" fillId="2" borderId="1" xfId="68" applyFont="1" applyAlignment="1"/>
    <xf numFmtId="0" fontId="26" fillId="2" borderId="1" xfId="48" applyFont="1" applyAlignment="1"/>
    <xf numFmtId="0" fontId="4" fillId="2" borderId="1" xfId="68" applyFont="1" applyAlignment="1"/>
    <xf numFmtId="0" fontId="17" fillId="2" borderId="1" xfId="68" applyFont="1" applyAlignment="1"/>
    <xf numFmtId="0" fontId="4" fillId="2" borderId="1" xfId="9" applyFont="1" applyAlignment="1">
      <alignment horizontal="center" vertical="top"/>
    </xf>
    <xf numFmtId="0" fontId="26" fillId="2" borderId="1" xfId="48" applyFont="1" applyAlignment="1">
      <alignment horizontal="center"/>
    </xf>
    <xf numFmtId="0" fontId="36" fillId="2" borderId="1" xfId="92" applyFont="1" applyAlignment="1"/>
    <xf numFmtId="39" fontId="26" fillId="2" borderId="1" xfId="48" applyNumberFormat="1" applyFont="1" applyAlignment="1"/>
    <xf numFmtId="0" fontId="36" fillId="2" borderId="2" xfId="106" applyFont="1"/>
    <xf numFmtId="0" fontId="36" fillId="2" borderId="3" xfId="110" applyFont="1"/>
    <xf numFmtId="0" fontId="36" fillId="2" borderId="1" xfId="103" applyFont="1" applyAlignment="1"/>
    <xf numFmtId="0" fontId="4" fillId="2" borderId="1" xfId="102" applyFont="1" applyAlignment="1">
      <alignment vertical="top"/>
    </xf>
    <xf numFmtId="0" fontId="27" fillId="2" borderId="1" xfId="104" applyFont="1" applyAlignment="1">
      <alignment vertical="top"/>
    </xf>
    <xf numFmtId="0" fontId="4" fillId="2" borderId="1" xfId="105" applyFont="1" applyAlignment="1">
      <alignment horizontal="right" vertical="top"/>
    </xf>
    <xf numFmtId="165" fontId="4" fillId="2" borderId="1" xfId="111" applyFont="1" applyAlignment="1">
      <alignment horizontal="right" vertical="top"/>
    </xf>
    <xf numFmtId="0" fontId="4" fillId="2" borderId="1" xfId="102" applyFont="1" applyAlignment="1">
      <alignment horizontal="left" vertical="top"/>
    </xf>
    <xf numFmtId="0" fontId="36" fillId="2" borderId="4" xfId="103" applyFont="1" applyBorder="1" applyAlignment="1"/>
    <xf numFmtId="164" fontId="36" fillId="2" borderId="2" xfId="15" applyFont="1" applyFill="1" applyBorder="1" applyAlignment="1"/>
    <xf numFmtId="164" fontId="36" fillId="2" borderId="1" xfId="15" applyFont="1" applyFill="1" applyBorder="1" applyAlignment="1"/>
    <xf numFmtId="43" fontId="26" fillId="2" borderId="1" xfId="48" applyNumberFormat="1" applyFont="1" applyAlignment="1"/>
    <xf numFmtId="43" fontId="36" fillId="2" borderId="1" xfId="92" applyNumberFormat="1" applyFont="1" applyAlignment="1"/>
    <xf numFmtId="0" fontId="4" fillId="2" borderId="1" xfId="2" applyFont="1" applyAlignment="1">
      <alignment vertical="top"/>
    </xf>
    <xf numFmtId="0" fontId="36" fillId="2" borderId="1" xfId="48" applyFont="1" applyAlignment="1"/>
    <xf numFmtId="0" fontId="27" fillId="2" borderId="1" xfId="8" applyFont="1" applyAlignment="1">
      <alignment vertical="top"/>
    </xf>
    <xf numFmtId="0" fontId="4" fillId="2" borderId="1" xfId="9" applyFont="1" applyAlignment="1">
      <alignment horizontal="right" vertical="top"/>
    </xf>
    <xf numFmtId="0" fontId="36" fillId="2" borderId="2" xfId="51" applyFont="1"/>
    <xf numFmtId="0" fontId="26" fillId="2" borderId="1" xfId="6" applyFont="1" applyAlignment="1">
      <alignment vertical="top"/>
    </xf>
    <xf numFmtId="165" fontId="26" fillId="2" borderId="1" xfId="12" applyFont="1" applyAlignment="1">
      <alignment horizontal="right" vertical="top"/>
    </xf>
    <xf numFmtId="0" fontId="36" fillId="2" borderId="3" xfId="55" applyFont="1"/>
    <xf numFmtId="165" fontId="4" fillId="2" borderId="1" xfId="45" applyFont="1" applyAlignment="1">
      <alignment horizontal="right" vertical="top"/>
    </xf>
    <xf numFmtId="43" fontId="36" fillId="2" borderId="1" xfId="48" applyNumberFormat="1" applyFont="1" applyAlignment="1"/>
    <xf numFmtId="0" fontId="26" fillId="2" borderId="1" xfId="2" applyFont="1" applyAlignment="1">
      <alignment vertical="top"/>
    </xf>
    <xf numFmtId="0" fontId="36" fillId="2" borderId="1" xfId="48" applyFont="1" applyAlignment="1">
      <alignment horizontal="center"/>
    </xf>
    <xf numFmtId="0" fontId="36" fillId="2" borderId="2" xfId="51" applyFont="1" applyAlignment="1">
      <alignment horizontal="center"/>
    </xf>
    <xf numFmtId="0" fontId="36" fillId="2" borderId="3" xfId="55" applyFont="1" applyAlignment="1">
      <alignment horizontal="center"/>
    </xf>
    <xf numFmtId="39" fontId="26" fillId="2" borderId="1" xfId="48" applyNumberFormat="1" applyFont="1" applyAlignment="1">
      <alignment horizontal="center"/>
    </xf>
    <xf numFmtId="0" fontId="26" fillId="2" borderId="4" xfId="6" applyFont="1" applyBorder="1" applyAlignment="1">
      <alignment vertical="top"/>
    </xf>
    <xf numFmtId="0" fontId="26" fillId="2" borderId="4" xfId="2" applyFont="1" applyBorder="1" applyAlignment="1">
      <alignment vertical="top"/>
    </xf>
    <xf numFmtId="0" fontId="36" fillId="2" borderId="4" xfId="48" applyFont="1" applyBorder="1" applyAlignment="1"/>
    <xf numFmtId="0" fontId="36" fillId="2" borderId="4" xfId="48" applyFont="1" applyBorder="1" applyAlignment="1">
      <alignment horizontal="center"/>
    </xf>
    <xf numFmtId="43" fontId="36" fillId="2" borderId="4" xfId="48" applyNumberFormat="1" applyFont="1" applyBorder="1" applyAlignment="1"/>
    <xf numFmtId="165" fontId="26" fillId="2" borderId="4" xfId="12" applyFont="1" applyBorder="1" applyAlignment="1">
      <alignment horizontal="right" vertical="top"/>
    </xf>
    <xf numFmtId="165" fontId="26" fillId="2" borderId="1" xfId="45" applyFont="1" applyAlignment="1">
      <alignment horizontal="right" vertical="top"/>
    </xf>
    <xf numFmtId="0" fontId="36" fillId="2" borderId="1" xfId="51" applyFont="1" applyBorder="1"/>
    <xf numFmtId="0" fontId="36" fillId="2" borderId="1" xfId="51" applyFont="1" applyBorder="1" applyAlignment="1">
      <alignment horizontal="center"/>
    </xf>
    <xf numFmtId="0" fontId="4" fillId="2" borderId="4" xfId="2" applyFont="1" applyBorder="1" applyAlignment="1">
      <alignment vertical="top"/>
    </xf>
    <xf numFmtId="165" fontId="4" fillId="2" borderId="4" xfId="45" applyFont="1" applyBorder="1" applyAlignment="1">
      <alignment horizontal="right" vertical="top"/>
    </xf>
    <xf numFmtId="0" fontId="4" fillId="2" borderId="1" xfId="102" applyFont="1" applyAlignment="1">
      <alignment horizontal="center" vertical="top"/>
    </xf>
    <xf numFmtId="0" fontId="36" fillId="2" borderId="1" xfId="103" applyFont="1" applyAlignment="1">
      <alignment horizontal="center"/>
    </xf>
    <xf numFmtId="0" fontId="36" fillId="2" borderId="2" xfId="106" applyFont="1" applyAlignment="1">
      <alignment horizontal="center"/>
    </xf>
    <xf numFmtId="0" fontId="36" fillId="2" borderId="3" xfId="110" applyFont="1" applyAlignment="1">
      <alignment horizontal="center"/>
    </xf>
    <xf numFmtId="165" fontId="26" fillId="2" borderId="1" xfId="111" applyFont="1" applyAlignment="1">
      <alignment horizontal="right" vertical="top"/>
    </xf>
    <xf numFmtId="0" fontId="26" fillId="2" borderId="1" xfId="102" applyFont="1" applyAlignment="1">
      <alignment vertical="top"/>
    </xf>
    <xf numFmtId="0" fontId="26" fillId="2" borderId="1" xfId="102" applyFont="1" applyAlignment="1">
      <alignment horizontal="center" vertical="top"/>
    </xf>
    <xf numFmtId="0" fontId="26" fillId="2" borderId="4" xfId="102" applyFont="1" applyBorder="1" applyAlignment="1">
      <alignment vertical="top"/>
    </xf>
    <xf numFmtId="0" fontId="36" fillId="2" borderId="4" xfId="103" applyFont="1" applyBorder="1" applyAlignment="1">
      <alignment horizontal="center"/>
    </xf>
    <xf numFmtId="165" fontId="26" fillId="2" borderId="4" xfId="108" applyFont="1" applyBorder="1" applyAlignment="1">
      <alignment horizontal="right" vertical="top"/>
    </xf>
    <xf numFmtId="165" fontId="4" fillId="2" borderId="4" xfId="111" applyFont="1" applyBorder="1" applyAlignment="1">
      <alignment horizontal="right" vertical="top"/>
    </xf>
    <xf numFmtId="0" fontId="4" fillId="2" borderId="4" xfId="102" applyFont="1" applyBorder="1" applyAlignment="1">
      <alignment vertical="top"/>
    </xf>
    <xf numFmtId="164" fontId="26" fillId="2" borderId="4" xfId="15" applyFont="1" applyFill="1" applyBorder="1" applyAlignment="1">
      <alignment horizontal="right" vertical="top"/>
    </xf>
    <xf numFmtId="0" fontId="4" fillId="2" borderId="6" xfId="102" applyFont="1" applyBorder="1" applyAlignment="1">
      <alignment vertical="top"/>
    </xf>
    <xf numFmtId="0" fontId="36" fillId="2" borderId="6" xfId="103" applyFont="1" applyBorder="1" applyAlignment="1"/>
    <xf numFmtId="0" fontId="36" fillId="2" borderId="6" xfId="103" applyFont="1" applyBorder="1" applyAlignment="1">
      <alignment horizontal="center"/>
    </xf>
    <xf numFmtId="165" fontId="4" fillId="2" borderId="6" xfId="111" applyFont="1" applyBorder="1" applyAlignment="1">
      <alignment horizontal="right" vertical="top"/>
    </xf>
    <xf numFmtId="43" fontId="4" fillId="2" borderId="1" xfId="48" applyNumberFormat="1" applyFont="1" applyAlignment="1">
      <alignment horizontal="center"/>
    </xf>
    <xf numFmtId="0" fontId="26" fillId="2" borderId="1" xfId="48" applyFont="1"/>
    <xf numFmtId="0" fontId="4" fillId="2" borderId="1" xfId="50" applyFont="1" applyAlignment="1">
      <alignment horizontal="center" vertical="top" wrapText="1"/>
    </xf>
    <xf numFmtId="0" fontId="4" fillId="2" borderId="1" xfId="50" applyFont="1">
      <alignment horizontal="right" vertical="top" wrapText="1"/>
    </xf>
    <xf numFmtId="0" fontId="26" fillId="2" borderId="2" xfId="51" applyFont="1" applyAlignment="1">
      <alignment horizontal="center"/>
    </xf>
    <xf numFmtId="0" fontId="26" fillId="2" borderId="2" xfId="51" applyFont="1"/>
    <xf numFmtId="0" fontId="4" fillId="2" borderId="1" xfId="47" applyFont="1" applyAlignment="1">
      <alignment vertical="top"/>
    </xf>
    <xf numFmtId="165" fontId="26" fillId="2" borderId="1" xfId="53" applyFont="1">
      <alignment horizontal="right" vertical="top" wrapText="1"/>
    </xf>
    <xf numFmtId="0" fontId="26" fillId="2" borderId="3" xfId="113" applyFont="1" applyAlignment="1">
      <alignment horizontal="center"/>
    </xf>
    <xf numFmtId="0" fontId="26" fillId="2" borderId="3" xfId="113" applyFont="1"/>
    <xf numFmtId="165" fontId="4" fillId="2" borderId="1" xfId="114" applyFont="1">
      <alignment horizontal="right" vertical="top" wrapText="1"/>
    </xf>
    <xf numFmtId="164" fontId="26" fillId="2" borderId="1" xfId="115" applyFont="1" applyFill="1" applyBorder="1" applyAlignment="1"/>
    <xf numFmtId="0" fontId="26" fillId="2" borderId="1" xfId="47" applyFont="1" applyAlignment="1">
      <alignment vertical="top"/>
    </xf>
    <xf numFmtId="0" fontId="26" fillId="2" borderId="4" xfId="48" applyFont="1" applyBorder="1"/>
    <xf numFmtId="0" fontId="26" fillId="2" borderId="4" xfId="47" applyFont="1" applyBorder="1" applyAlignment="1">
      <alignment vertical="top"/>
    </xf>
    <xf numFmtId="0" fontId="26" fillId="2" borderId="4" xfId="48" applyFont="1" applyBorder="1" applyAlignment="1">
      <alignment horizontal="center"/>
    </xf>
    <xf numFmtId="164" fontId="26" fillId="2" borderId="4" xfId="115" applyFont="1" applyFill="1" applyBorder="1" applyAlignment="1"/>
    <xf numFmtId="165" fontId="26" fillId="2" borderId="4" xfId="53" applyFont="1" applyBorder="1">
      <alignment horizontal="right" vertical="top" wrapText="1"/>
    </xf>
    <xf numFmtId="0" fontId="4" fillId="2" borderId="4" xfId="47" applyFont="1" applyBorder="1">
      <alignment horizontal="left" vertical="top" wrapText="1"/>
    </xf>
    <xf numFmtId="164" fontId="4" fillId="2" borderId="4" xfId="48" applyNumberFormat="1" applyFont="1" applyBorder="1" applyAlignment="1"/>
    <xf numFmtId="165" fontId="4" fillId="2" borderId="4" xfId="53" applyFont="1" applyBorder="1">
      <alignment horizontal="right" vertical="top" wrapText="1"/>
    </xf>
    <xf numFmtId="0" fontId="4" fillId="2" borderId="1" xfId="47" applyFont="1">
      <alignment horizontal="left" vertical="top" wrapText="1"/>
    </xf>
    <xf numFmtId="164" fontId="36" fillId="2" borderId="1" xfId="115" applyFont="1" applyFill="1" applyBorder="1" applyAlignment="1"/>
    <xf numFmtId="0" fontId="4" fillId="2" borderId="5" xfId="48" applyFont="1" applyBorder="1"/>
    <xf numFmtId="0" fontId="26" fillId="2" borderId="5" xfId="48" applyFont="1" applyBorder="1"/>
    <xf numFmtId="0" fontId="26" fillId="2" borderId="5" xfId="48" applyFont="1" applyBorder="1" applyAlignment="1">
      <alignment horizontal="center"/>
    </xf>
    <xf numFmtId="164" fontId="4" fillId="2" borderId="5" xfId="48" applyNumberFormat="1" applyFont="1" applyBorder="1"/>
    <xf numFmtId="164" fontId="26" fillId="2" borderId="1" xfId="48" applyNumberFormat="1" applyFont="1"/>
    <xf numFmtId="0" fontId="17" fillId="2" borderId="1" xfId="116" applyFont="1" applyAlignment="1"/>
    <xf numFmtId="164" fontId="26" fillId="2" borderId="1" xfId="116" applyNumberFormat="1" applyFont="1" applyAlignment="1">
      <alignment horizontal="center"/>
    </xf>
    <xf numFmtId="43" fontId="26" fillId="2" borderId="1" xfId="116" applyNumberFormat="1" applyFont="1" applyAlignment="1">
      <alignment horizontal="center"/>
    </xf>
    <xf numFmtId="0" fontId="26" fillId="2" borderId="1" xfId="117" applyFont="1" applyAlignment="1"/>
    <xf numFmtId="0" fontId="26" fillId="2" borderId="1" xfId="117" applyFont="1" applyAlignment="1">
      <alignment horizontal="center"/>
    </xf>
    <xf numFmtId="0" fontId="4" fillId="2" borderId="1" xfId="117" applyFont="1" applyAlignment="1"/>
    <xf numFmtId="0" fontId="17" fillId="2" borderId="1" xfId="117" applyFont="1" applyAlignment="1"/>
    <xf numFmtId="0" fontId="4" fillId="2" borderId="1" xfId="118" applyFont="1" applyAlignment="1">
      <alignment vertical="top"/>
    </xf>
    <xf numFmtId="0" fontId="26" fillId="2" borderId="1" xfId="119" applyFont="1" applyAlignment="1"/>
    <xf numFmtId="0" fontId="26" fillId="2" borderId="1" xfId="119" applyFont="1" applyAlignment="1">
      <alignment horizontal="center"/>
    </xf>
    <xf numFmtId="0" fontId="27" fillId="2" borderId="1" xfId="120" applyFont="1" applyAlignment="1">
      <alignment vertical="top"/>
    </xf>
    <xf numFmtId="0" fontId="4" fillId="2" borderId="1" xfId="119" applyFont="1" applyAlignment="1">
      <alignment horizontal="center"/>
    </xf>
    <xf numFmtId="0" fontId="4" fillId="2" borderId="1" xfId="121" applyFont="1" applyAlignment="1">
      <alignment horizontal="right" vertical="top"/>
    </xf>
    <xf numFmtId="0" fontId="26" fillId="2" borderId="2" xfId="122" applyFont="1"/>
    <xf numFmtId="0" fontId="26" fillId="2" borderId="2" xfId="122" applyFont="1" applyAlignment="1">
      <alignment horizontal="center"/>
    </xf>
    <xf numFmtId="0" fontId="26" fillId="2" borderId="1" xfId="123" applyFont="1" applyAlignment="1">
      <alignment vertical="top"/>
    </xf>
    <xf numFmtId="165" fontId="26" fillId="2" borderId="1" xfId="124" applyFont="1" applyAlignment="1">
      <alignment horizontal="right" vertical="top"/>
    </xf>
    <xf numFmtId="0" fontId="26" fillId="2" borderId="1" xfId="123" applyFont="1" applyAlignment="1">
      <alignment horizontal="left" vertical="top"/>
    </xf>
    <xf numFmtId="0" fontId="26" fillId="2" borderId="1" xfId="123" applyFont="1" applyAlignment="1">
      <alignment horizontal="center" vertical="top"/>
    </xf>
    <xf numFmtId="0" fontId="26" fillId="2" borderId="3" xfId="125" applyFont="1"/>
    <xf numFmtId="0" fontId="26" fillId="2" borderId="3" xfId="125" applyFont="1" applyAlignment="1">
      <alignment horizontal="center"/>
    </xf>
    <xf numFmtId="165" fontId="4" fillId="2" borderId="1" xfId="126" applyFont="1" applyAlignment="1">
      <alignment horizontal="right" vertical="top"/>
    </xf>
    <xf numFmtId="164" fontId="26" fillId="2" borderId="2" xfId="115" applyFont="1" applyFill="1" applyBorder="1" applyAlignment="1"/>
    <xf numFmtId="0" fontId="17" fillId="2" borderId="1" xfId="127" applyFont="1"/>
    <xf numFmtId="0" fontId="4" fillId="2" borderId="1" xfId="119" applyFont="1" applyAlignment="1"/>
    <xf numFmtId="0" fontId="17" fillId="2" borderId="1" xfId="119" applyFont="1" applyAlignment="1"/>
    <xf numFmtId="0" fontId="36" fillId="2" borderId="1" xfId="119" applyFont="1" applyAlignment="1"/>
    <xf numFmtId="0" fontId="36" fillId="2" borderId="2" xfId="122" applyFont="1"/>
    <xf numFmtId="0" fontId="36" fillId="2" borderId="3" xfId="128" applyFont="1"/>
    <xf numFmtId="0" fontId="26" fillId="2" borderId="3" xfId="128" applyFont="1" applyAlignment="1">
      <alignment horizontal="center"/>
    </xf>
    <xf numFmtId="165" fontId="4" fillId="2" borderId="1" xfId="129" applyFont="1" applyAlignment="1">
      <alignment horizontal="right" vertical="top"/>
    </xf>
    <xf numFmtId="167" fontId="36" fillId="2" borderId="3" xfId="128" applyNumberFormat="1" applyFont="1"/>
    <xf numFmtId="0" fontId="4" fillId="2" borderId="1" xfId="118" applyFont="1" applyAlignment="1">
      <alignment horizontal="left" vertical="top"/>
    </xf>
    <xf numFmtId="0" fontId="4" fillId="2" borderId="1" xfId="118" applyFont="1" applyAlignment="1">
      <alignment horizontal="center" vertical="top"/>
    </xf>
    <xf numFmtId="165" fontId="36" fillId="2" borderId="1" xfId="119" applyNumberFormat="1" applyFont="1" applyAlignment="1"/>
    <xf numFmtId="0" fontId="4" fillId="2" borderId="4" xfId="118" applyFont="1" applyBorder="1" applyAlignment="1">
      <alignment vertical="top"/>
    </xf>
    <xf numFmtId="0" fontId="36" fillId="2" borderId="4" xfId="119" applyFont="1" applyBorder="1" applyAlignment="1"/>
    <xf numFmtId="0" fontId="26" fillId="2" borderId="4" xfId="119" applyFont="1" applyBorder="1" applyAlignment="1">
      <alignment horizontal="center"/>
    </xf>
    <xf numFmtId="165" fontId="26" fillId="2" borderId="4" xfId="124" applyFont="1" applyBorder="1" applyAlignment="1">
      <alignment horizontal="right" vertical="top"/>
    </xf>
    <xf numFmtId="164" fontId="36" fillId="2" borderId="2" xfId="115" applyFont="1" applyFill="1" applyBorder="1" applyAlignment="1"/>
    <xf numFmtId="164" fontId="36" fillId="2" borderId="1" xfId="115" applyFont="1" applyFill="1" applyBorder="1" applyAlignment="1">
      <alignment horizontal="right"/>
    </xf>
    <xf numFmtId="4" fontId="26" fillId="2" borderId="1" xfId="115" applyNumberFormat="1" applyFont="1" applyFill="1" applyBorder="1" applyAlignment="1"/>
    <xf numFmtId="4" fontId="36" fillId="2" borderId="1" xfId="115" applyNumberFormat="1" applyFont="1" applyFill="1" applyBorder="1" applyAlignment="1"/>
    <xf numFmtId="4" fontId="26" fillId="2" borderId="1" xfId="115" applyNumberFormat="1" applyFont="1" applyFill="1" applyBorder="1" applyAlignment="1">
      <alignment horizontal="right" vertical="top" wrapText="1"/>
    </xf>
    <xf numFmtId="4" fontId="26" fillId="2" borderId="1" xfId="48" applyNumberFormat="1" applyFont="1"/>
    <xf numFmtId="4" fontId="26" fillId="2" borderId="3" xfId="115" applyNumberFormat="1" applyFont="1" applyFill="1" applyBorder="1" applyAlignment="1"/>
    <xf numFmtId="4" fontId="4" fillId="2" borderId="1" xfId="115" applyNumberFormat="1" applyFont="1" applyFill="1" applyBorder="1" applyAlignment="1">
      <alignment horizontal="right" vertical="top" wrapText="1"/>
    </xf>
    <xf numFmtId="164" fontId="26" fillId="2" borderId="4" xfId="115" applyFont="1" applyFill="1" applyBorder="1" applyAlignment="1">
      <alignment horizontal="right" vertical="top" wrapText="1"/>
    </xf>
    <xf numFmtId="164" fontId="4" fillId="2" borderId="4" xfId="115" applyFont="1" applyFill="1" applyBorder="1" applyAlignment="1"/>
    <xf numFmtId="4" fontId="4" fillId="2" borderId="4" xfId="115" applyNumberFormat="1" applyFont="1" applyFill="1" applyBorder="1" applyAlignment="1"/>
    <xf numFmtId="4" fontId="4" fillId="2" borderId="1" xfId="115" applyNumberFormat="1" applyFont="1" applyFill="1" applyBorder="1" applyAlignment="1"/>
    <xf numFmtId="4" fontId="4" fillId="2" borderId="5" xfId="115" applyNumberFormat="1" applyFont="1" applyFill="1" applyBorder="1"/>
    <xf numFmtId="164" fontId="26" fillId="2" borderId="1" xfId="115" applyFont="1" applyFill="1" applyBorder="1"/>
    <xf numFmtId="0" fontId="4" fillId="2" borderId="1" xfId="117" applyFont="1" applyAlignment="1">
      <alignment horizontal="center"/>
    </xf>
    <xf numFmtId="4" fontId="26" fillId="2" borderId="1" xfId="115" applyNumberFormat="1" applyFont="1" applyFill="1" applyBorder="1"/>
    <xf numFmtId="0" fontId="41" fillId="2" borderId="1" xfId="119" applyFont="1" applyAlignment="1"/>
    <xf numFmtId="165" fontId="4" fillId="2" borderId="1" xfId="124" applyFont="1" applyAlignment="1">
      <alignment horizontal="right" vertical="top"/>
    </xf>
    <xf numFmtId="165" fontId="4" fillId="2" borderId="1" xfId="119" applyNumberFormat="1" applyFont="1" applyAlignment="1"/>
    <xf numFmtId="39" fontId="36" fillId="2" borderId="1" xfId="119" applyNumberFormat="1" applyFont="1" applyAlignment="1"/>
    <xf numFmtId="0" fontId="4" fillId="2" borderId="1" xfId="123" applyFont="1" applyAlignment="1">
      <alignment vertical="top"/>
    </xf>
    <xf numFmtId="164" fontId="26" fillId="2" borderId="1" xfId="15" applyFont="1" applyFill="1" applyBorder="1" applyAlignment="1">
      <alignment horizontal="right" vertical="top"/>
    </xf>
    <xf numFmtId="0" fontId="26" fillId="2" borderId="1" xfId="52" applyFont="1">
      <alignment horizontal="left" vertical="top" wrapText="1"/>
    </xf>
    <xf numFmtId="0" fontId="26" fillId="2" borderId="1" xfId="47" applyFont="1">
      <alignment horizontal="left" vertical="top" wrapText="1"/>
    </xf>
    <xf numFmtId="0" fontId="26" fillId="2" borderId="1" xfId="17" applyFont="1">
      <alignment horizontal="left" vertical="top" wrapText="1"/>
    </xf>
    <xf numFmtId="0" fontId="26" fillId="2" borderId="1" xfId="48" applyFont="1" applyAlignment="1">
      <alignment horizontal="left" wrapText="1"/>
    </xf>
    <xf numFmtId="0" fontId="4" fillId="2" borderId="1" xfId="48" applyFont="1" applyAlignment="1">
      <alignment horizontal="center"/>
    </xf>
    <xf numFmtId="0" fontId="43" fillId="2" borderId="1" xfId="18" applyFont="1"/>
    <xf numFmtId="0" fontId="43" fillId="0" borderId="1" xfId="18" applyFont="1" applyFill="1"/>
    <xf numFmtId="0" fontId="42" fillId="2" borderId="1" xfId="18" applyFont="1" applyAlignment="1">
      <alignment horizontal="center"/>
    </xf>
    <xf numFmtId="0" fontId="42" fillId="2" borderId="1" xfId="20" applyFont="1">
      <alignment horizontal="right" vertical="top" wrapText="1"/>
    </xf>
    <xf numFmtId="0" fontId="42" fillId="0" borderId="1" xfId="20" applyFont="1" applyFill="1">
      <alignment horizontal="right" vertical="top" wrapText="1"/>
    </xf>
    <xf numFmtId="0" fontId="43" fillId="2" borderId="2" xfId="21" applyFont="1"/>
    <xf numFmtId="0" fontId="43" fillId="0" borderId="2" xfId="21" applyFont="1" applyFill="1"/>
    <xf numFmtId="0" fontId="42" fillId="2" borderId="1" xfId="17" applyFont="1" applyAlignment="1">
      <alignment vertical="top"/>
    </xf>
    <xf numFmtId="0" fontId="43" fillId="2" borderId="1" xfId="18" applyFont="1" applyAlignment="1"/>
    <xf numFmtId="43" fontId="43" fillId="2" borderId="1" xfId="18" applyNumberFormat="1" applyFont="1" applyAlignment="1"/>
    <xf numFmtId="0" fontId="43" fillId="0" borderId="1" xfId="18" applyFont="1" applyFill="1" applyAlignment="1"/>
    <xf numFmtId="0" fontId="43" fillId="2" borderId="1" xfId="17" applyFont="1" applyAlignment="1">
      <alignment vertical="top"/>
    </xf>
    <xf numFmtId="164" fontId="43" fillId="2" borderId="1" xfId="15" applyFont="1" applyFill="1" applyBorder="1" applyAlignment="1">
      <alignment horizontal="right"/>
    </xf>
    <xf numFmtId="164" fontId="45" fillId="2" borderId="1" xfId="15" applyFont="1" applyFill="1" applyBorder="1" applyAlignment="1">
      <alignment horizontal="right"/>
    </xf>
    <xf numFmtId="164" fontId="43" fillId="2" borderId="1" xfId="15" applyFont="1" applyFill="1" applyBorder="1" applyAlignment="1"/>
    <xf numFmtId="164" fontId="43" fillId="2" borderId="1" xfId="115" applyFont="1" applyFill="1" applyBorder="1" applyAlignment="1"/>
    <xf numFmtId="4" fontId="43" fillId="2" borderId="1" xfId="15" applyNumberFormat="1" applyFont="1" applyFill="1" applyBorder="1" applyAlignment="1"/>
    <xf numFmtId="0" fontId="43" fillId="2" borderId="1" xfId="18" applyFont="1" applyAlignment="1">
      <alignment horizontal="center"/>
    </xf>
    <xf numFmtId="164" fontId="43" fillId="2" borderId="1" xfId="15" applyFont="1" applyFill="1" applyBorder="1" applyAlignment="1">
      <alignment horizontal="right" vertical="top" wrapText="1"/>
    </xf>
    <xf numFmtId="164" fontId="45" fillId="2" borderId="1" xfId="15" applyFont="1" applyFill="1" applyBorder="1" applyAlignment="1"/>
    <xf numFmtId="0" fontId="43" fillId="2" borderId="4" xfId="18" applyFont="1" applyBorder="1"/>
    <xf numFmtId="164" fontId="43" fillId="2" borderId="4" xfId="15" applyFont="1" applyFill="1" applyBorder="1" applyAlignment="1"/>
    <xf numFmtId="4" fontId="43" fillId="2" borderId="4" xfId="15" applyNumberFormat="1" applyFont="1" applyFill="1" applyBorder="1" applyAlignment="1"/>
    <xf numFmtId="0" fontId="42" fillId="2" borderId="4" xfId="18" applyFont="1" applyBorder="1" applyAlignment="1"/>
    <xf numFmtId="164" fontId="42" fillId="2" borderId="4" xfId="15" applyFont="1" applyFill="1" applyBorder="1" applyAlignment="1"/>
    <xf numFmtId="4" fontId="43" fillId="0" borderId="1" xfId="15" applyNumberFormat="1" applyFont="1" applyFill="1" applyBorder="1" applyAlignment="1"/>
    <xf numFmtId="4" fontId="45" fillId="2" borderId="1" xfId="15" applyNumberFormat="1" applyFont="1" applyFill="1" applyBorder="1" applyAlignment="1"/>
    <xf numFmtId="4" fontId="43" fillId="2" borderId="1" xfId="18" applyNumberFormat="1" applyFont="1"/>
    <xf numFmtId="0" fontId="43" fillId="2" borderId="1" xfId="18" applyFont="1" applyAlignment="1">
      <alignment horizontal="left" wrapText="1"/>
    </xf>
    <xf numFmtId="0" fontId="43" fillId="2" borderId="1" xfId="22" applyFont="1" applyAlignment="1">
      <alignment vertical="top"/>
    </xf>
    <xf numFmtId="4" fontId="43" fillId="2" borderId="1" xfId="15" applyNumberFormat="1" applyFont="1" applyFill="1" applyBorder="1" applyAlignment="1">
      <alignment horizontal="right" vertical="top" wrapText="1"/>
    </xf>
    <xf numFmtId="4" fontId="45" fillId="2" borderId="1" xfId="15" applyNumberFormat="1" applyFont="1" applyFill="1" applyBorder="1" applyAlignment="1">
      <alignment horizontal="right" vertical="top" wrapText="1"/>
    </xf>
    <xf numFmtId="4" fontId="43" fillId="0" borderId="4" xfId="15" applyNumberFormat="1" applyFont="1" applyFill="1" applyBorder="1" applyAlignment="1"/>
    <xf numFmtId="4" fontId="42" fillId="2" borderId="1" xfId="15" applyNumberFormat="1" applyFont="1" applyFill="1" applyBorder="1" applyAlignment="1">
      <alignment horizontal="right" vertical="top" wrapText="1"/>
    </xf>
    <xf numFmtId="0" fontId="43" fillId="2" borderId="3" xfId="24" applyFont="1"/>
    <xf numFmtId="4" fontId="43" fillId="2" borderId="3" xfId="15" applyNumberFormat="1" applyFont="1" applyFill="1" applyBorder="1" applyAlignment="1"/>
    <xf numFmtId="4" fontId="43" fillId="0" borderId="3" xfId="15" applyNumberFormat="1" applyFont="1" applyFill="1" applyBorder="1" applyAlignment="1"/>
    <xf numFmtId="0" fontId="42" fillId="2" borderId="1" xfId="17" applyFont="1">
      <alignment horizontal="left" vertical="top" wrapText="1"/>
    </xf>
    <xf numFmtId="0" fontId="43" fillId="2" borderId="1" xfId="17" applyFont="1">
      <alignment horizontal="left" vertical="top" wrapText="1"/>
    </xf>
    <xf numFmtId="164" fontId="45" fillId="0" borderId="1" xfId="15" applyFont="1" applyFill="1" applyBorder="1" applyAlignment="1"/>
    <xf numFmtId="0" fontId="42" fillId="2" borderId="4" xfId="17" applyFont="1" applyBorder="1">
      <alignment horizontal="left" vertical="top" wrapText="1"/>
    </xf>
    <xf numFmtId="0" fontId="43" fillId="2" borderId="4" xfId="22" applyFont="1" applyBorder="1" applyAlignment="1">
      <alignment vertical="top"/>
    </xf>
    <xf numFmtId="164" fontId="45" fillId="0" borderId="4" xfId="15" applyFont="1" applyFill="1" applyBorder="1" applyAlignment="1"/>
    <xf numFmtId="164" fontId="43" fillId="2" borderId="4" xfId="15" applyFont="1" applyFill="1" applyBorder="1" applyAlignment="1">
      <alignment horizontal="right" vertical="top" wrapText="1"/>
    </xf>
    <xf numFmtId="4" fontId="43" fillId="0" borderId="1" xfId="15" applyNumberFormat="1" applyFont="1" applyFill="1" applyBorder="1" applyAlignment="1">
      <alignment horizontal="right" vertical="top" wrapText="1"/>
    </xf>
    <xf numFmtId="0" fontId="43" fillId="2" borderId="1" xfId="22" applyFont="1">
      <alignment horizontal="left" vertical="top" wrapText="1"/>
    </xf>
    <xf numFmtId="0" fontId="43" fillId="2" borderId="4" xfId="17" applyFont="1" applyBorder="1">
      <alignment horizontal="left" vertical="top" wrapText="1"/>
    </xf>
    <xf numFmtId="0" fontId="43" fillId="2" borderId="4" xfId="17" applyFont="1" applyBorder="1" applyAlignment="1">
      <alignment vertical="top"/>
    </xf>
    <xf numFmtId="4" fontId="42" fillId="2" borderId="1" xfId="15" applyNumberFormat="1" applyFont="1" applyFill="1" applyBorder="1" applyAlignment="1"/>
    <xf numFmtId="4" fontId="42" fillId="0" borderId="1" xfId="15" applyNumberFormat="1" applyFont="1" applyFill="1" applyBorder="1" applyAlignment="1"/>
    <xf numFmtId="4" fontId="42" fillId="2" borderId="4" xfId="15" applyNumberFormat="1" applyFont="1" applyFill="1" applyBorder="1" applyAlignment="1"/>
    <xf numFmtId="4" fontId="42" fillId="0" borderId="4" xfId="15" applyNumberFormat="1" applyFont="1" applyFill="1" applyBorder="1" applyAlignment="1"/>
    <xf numFmtId="0" fontId="43" fillId="2" borderId="5" xfId="18" applyFont="1" applyBorder="1"/>
    <xf numFmtId="4" fontId="42" fillId="2" borderId="5" xfId="15" applyNumberFormat="1" applyFont="1" applyFill="1" applyBorder="1"/>
    <xf numFmtId="4" fontId="42" fillId="0" borderId="5" xfId="15" applyNumberFormat="1" applyFont="1" applyFill="1" applyBorder="1"/>
    <xf numFmtId="164" fontId="43" fillId="2" borderId="1" xfId="15" applyFont="1" applyFill="1" applyBorder="1"/>
    <xf numFmtId="0" fontId="43" fillId="2" borderId="1" xfId="68" applyFont="1" applyAlignment="1"/>
    <xf numFmtId="0" fontId="42" fillId="2" borderId="1" xfId="68" applyFont="1" applyAlignment="1">
      <alignment horizontal="center"/>
    </xf>
    <xf numFmtId="0" fontId="43" fillId="2" borderId="1" xfId="68" applyFont="1" applyAlignment="1">
      <alignment horizontal="center"/>
    </xf>
    <xf numFmtId="0" fontId="42" fillId="2" borderId="1" xfId="68" applyFont="1" applyAlignment="1"/>
    <xf numFmtId="0" fontId="46" fillId="2" borderId="1" xfId="68" applyFont="1" applyAlignment="1"/>
    <xf numFmtId="4" fontId="43" fillId="2" borderId="1" xfId="15" applyNumberFormat="1" applyFont="1" applyFill="1" applyBorder="1"/>
    <xf numFmtId="164" fontId="43" fillId="0" borderId="1" xfId="15" applyFont="1" applyFill="1" applyBorder="1"/>
    <xf numFmtId="164" fontId="26" fillId="2" borderId="1" xfId="15" applyFont="1" applyFill="1" applyBorder="1" applyAlignment="1"/>
    <xf numFmtId="39" fontId="36" fillId="2" borderId="2" xfId="106" applyNumberFormat="1" applyFont="1"/>
    <xf numFmtId="168" fontId="36" fillId="2" borderId="2" xfId="106" applyNumberFormat="1" applyFont="1"/>
    <xf numFmtId="0" fontId="26" fillId="2" borderId="4" xfId="123" applyFont="1" applyBorder="1" applyAlignment="1">
      <alignment vertical="top"/>
    </xf>
    <xf numFmtId="0" fontId="43" fillId="2" borderId="6" xfId="18" applyFont="1" applyBorder="1"/>
    <xf numFmtId="0" fontId="42" fillId="2" borderId="6" xfId="18" applyFont="1" applyBorder="1"/>
    <xf numFmtId="4" fontId="42" fillId="2" borderId="6" xfId="15" applyNumberFormat="1" applyFont="1" applyFill="1" applyBorder="1" applyAlignment="1">
      <alignment horizontal="right" vertical="top" wrapText="1"/>
    </xf>
    <xf numFmtId="0" fontId="42" fillId="2" borderId="6" xfId="17" applyFont="1" applyBorder="1" applyAlignment="1">
      <alignment vertical="top"/>
    </xf>
    <xf numFmtId="0" fontId="42" fillId="2" borderId="6" xfId="18" applyFont="1" applyBorder="1" applyAlignment="1"/>
    <xf numFmtId="164" fontId="42" fillId="2" borderId="6" xfId="15" applyFont="1" applyFill="1" applyBorder="1" applyAlignment="1"/>
    <xf numFmtId="0" fontId="26" fillId="2" borderId="6" xfId="48" applyFont="1" applyBorder="1"/>
    <xf numFmtId="4" fontId="26" fillId="2" borderId="6" xfId="115" applyNumberFormat="1" applyFont="1" applyFill="1" applyBorder="1" applyAlignment="1">
      <alignment horizontal="right" vertical="top" wrapText="1"/>
    </xf>
    <xf numFmtId="0" fontId="4" fillId="2" borderId="6" xfId="47" applyFont="1" applyBorder="1">
      <alignment horizontal="left" vertical="top" wrapText="1"/>
    </xf>
    <xf numFmtId="0" fontId="26" fillId="2" borderId="6" xfId="48" applyFont="1" applyBorder="1" applyAlignment="1"/>
    <xf numFmtId="164" fontId="26" fillId="2" borderId="6" xfId="115" applyFont="1" applyFill="1" applyBorder="1" applyAlignment="1"/>
    <xf numFmtId="164" fontId="26" fillId="2" borderId="6" xfId="115" applyFont="1" applyFill="1" applyBorder="1" applyAlignment="1">
      <alignment horizontal="right" vertical="top" wrapText="1"/>
    </xf>
    <xf numFmtId="43" fontId="26" fillId="2" borderId="1" xfId="48" applyNumberFormat="1" applyFont="1"/>
    <xf numFmtId="39" fontId="36" fillId="2" borderId="3" xfId="128" applyNumberFormat="1" applyFont="1"/>
    <xf numFmtId="164" fontId="36" fillId="2" borderId="3" xfId="15" applyFont="1" applyFill="1" applyBorder="1" applyAlignment="1"/>
    <xf numFmtId="39" fontId="26" fillId="2" borderId="1" xfId="119" applyNumberFormat="1" applyFont="1" applyAlignment="1"/>
    <xf numFmtId="39" fontId="26" fillId="2" borderId="1" xfId="119" applyNumberFormat="1" applyFont="1" applyAlignment="1">
      <alignment horizontal="center"/>
    </xf>
    <xf numFmtId="43" fontId="43" fillId="2" borderId="1" xfId="18" applyNumberFormat="1" applyFont="1"/>
    <xf numFmtId="4" fontId="26" fillId="2" borderId="1" xfId="124" applyNumberFormat="1" applyFont="1" applyAlignment="1">
      <alignment horizontal="right" vertical="top"/>
    </xf>
    <xf numFmtId="164" fontId="26" fillId="2" borderId="2" xfId="15" applyFont="1" applyFill="1" applyBorder="1"/>
    <xf numFmtId="164" fontId="26" fillId="2" borderId="2" xfId="15" applyFont="1" applyFill="1" applyBorder="1" applyAlignment="1"/>
    <xf numFmtId="164" fontId="26" fillId="2" borderId="3" xfId="15" applyFont="1" applyFill="1" applyBorder="1"/>
    <xf numFmtId="0" fontId="26" fillId="2" borderId="1" xfId="118" applyFont="1" applyAlignment="1">
      <alignment vertical="top"/>
    </xf>
    <xf numFmtId="39" fontId="26" fillId="2" borderId="3" xfId="125" applyNumberFormat="1" applyFont="1"/>
    <xf numFmtId="167" fontId="26" fillId="2" borderId="3" xfId="125" applyNumberFormat="1" applyFont="1"/>
    <xf numFmtId="4" fontId="36" fillId="0" borderId="1" xfId="115" applyNumberFormat="1" applyFont="1" applyFill="1" applyBorder="1" applyAlignment="1"/>
    <xf numFmtId="4" fontId="45" fillId="0" borderId="1" xfId="15" applyNumberFormat="1" applyFont="1" applyFill="1" applyBorder="1" applyAlignment="1"/>
    <xf numFmtId="0" fontId="26" fillId="0" borderId="1" xfId="119" applyFont="1" applyFill="1" applyAlignment="1"/>
    <xf numFmtId="0" fontId="4" fillId="0" borderId="1" xfId="119" applyFont="1" applyFill="1" applyAlignment="1">
      <alignment horizontal="right"/>
    </xf>
    <xf numFmtId="167" fontId="36" fillId="2" borderId="1" xfId="119" applyNumberFormat="1" applyFont="1" applyAlignment="1"/>
    <xf numFmtId="39" fontId="26" fillId="2" borderId="1" xfId="15" applyNumberFormat="1" applyFont="1" applyFill="1" applyBorder="1" applyAlignment="1"/>
    <xf numFmtId="0" fontId="44" fillId="2" borderId="1" xfId="18" applyFont="1"/>
    <xf numFmtId="169" fontId="26" fillId="2" borderId="1" xfId="124" applyNumberFormat="1" applyFont="1" applyAlignment="1">
      <alignment horizontal="right" vertical="top"/>
    </xf>
    <xf numFmtId="170" fontId="26" fillId="2" borderId="1" xfId="124" applyNumberFormat="1" applyFont="1" applyAlignment="1">
      <alignment horizontal="right" vertical="top"/>
    </xf>
    <xf numFmtId="0" fontId="4" fillId="2" borderId="1" xfId="2" applyFont="1" applyAlignment="1">
      <alignment horizontal="center" vertical="top"/>
    </xf>
    <xf numFmtId="0" fontId="4" fillId="2" borderId="1" xfId="102" applyFont="1" applyAlignment="1">
      <alignment horizontal="left" vertical="top"/>
    </xf>
    <xf numFmtId="0" fontId="4" fillId="2" borderId="1" xfId="47" applyFont="1">
      <alignment horizontal="left" vertical="top" wrapText="1"/>
    </xf>
    <xf numFmtId="0" fontId="4" fillId="2" borderId="4" xfId="47" applyFont="1" applyBorder="1">
      <alignment horizontal="left" vertical="top" wrapText="1"/>
    </xf>
    <xf numFmtId="0" fontId="26" fillId="2" borderId="1" xfId="52" applyFont="1">
      <alignment horizontal="left" vertical="top" wrapText="1"/>
    </xf>
    <xf numFmtId="0" fontId="26" fillId="2" borderId="3" xfId="113" applyFont="1"/>
    <xf numFmtId="0" fontId="26" fillId="2" borderId="1" xfId="48" applyFont="1"/>
    <xf numFmtId="0" fontId="27" fillId="2" borderId="1" xfId="49" applyFont="1">
      <alignment horizontal="left" vertical="top" wrapText="1"/>
    </xf>
    <xf numFmtId="0" fontId="26" fillId="2" borderId="2" xfId="51" applyFont="1"/>
    <xf numFmtId="0" fontId="26" fillId="2" borderId="6" xfId="52" applyFont="1" applyBorder="1">
      <alignment horizontal="left" vertical="top" wrapText="1"/>
    </xf>
    <xf numFmtId="0" fontId="26" fillId="2" borderId="6" xfId="48" applyFont="1" applyBorder="1"/>
    <xf numFmtId="0" fontId="26" fillId="2" borderId="1" xfId="48" applyFont="1" applyAlignment="1">
      <alignment horizontal="left" wrapText="1"/>
    </xf>
    <xf numFmtId="0" fontId="4" fillId="2" borderId="5" xfId="47" applyFont="1" applyBorder="1">
      <alignment horizontal="left" vertical="top" wrapText="1"/>
    </xf>
    <xf numFmtId="0" fontId="26" fillId="2" borderId="5" xfId="48" applyFont="1" applyBorder="1"/>
    <xf numFmtId="0" fontId="26" fillId="2" borderId="1" xfId="47" applyFont="1">
      <alignment horizontal="left" vertical="top" wrapText="1"/>
    </xf>
    <xf numFmtId="0" fontId="43" fillId="2" borderId="1" xfId="17" applyFont="1">
      <alignment horizontal="left" vertical="top" wrapText="1"/>
    </xf>
    <xf numFmtId="0" fontId="26" fillId="2" borderId="4" xfId="48" applyFont="1" applyBorder="1"/>
    <xf numFmtId="0" fontId="43" fillId="2" borderId="1" xfId="18" applyFont="1"/>
    <xf numFmtId="0" fontId="42" fillId="2" borderId="1" xfId="17" applyFont="1">
      <alignment horizontal="left" vertical="top" wrapText="1"/>
    </xf>
    <xf numFmtId="0" fontId="44" fillId="2" borderId="1" xfId="19" applyFont="1">
      <alignment horizontal="left" vertical="top" wrapText="1"/>
    </xf>
    <xf numFmtId="0" fontId="43" fillId="2" borderId="1" xfId="22" applyFont="1">
      <alignment horizontal="left" vertical="top" wrapText="1"/>
    </xf>
    <xf numFmtId="0" fontId="43" fillId="2" borderId="2" xfId="21" applyFont="1"/>
    <xf numFmtId="0" fontId="43" fillId="2" borderId="1" xfId="18" applyFont="1" applyAlignment="1">
      <alignment horizontal="left" wrapText="1"/>
    </xf>
    <xf numFmtId="0" fontId="42" fillId="2" borderId="6" xfId="22" applyFont="1" applyBorder="1">
      <alignment horizontal="left" vertical="top" wrapText="1"/>
    </xf>
    <xf numFmtId="0" fontId="42" fillId="2" borderId="6" xfId="18" applyFont="1" applyBorder="1"/>
    <xf numFmtId="0" fontId="43" fillId="2" borderId="3" xfId="24" applyFont="1"/>
    <xf numFmtId="0" fontId="42" fillId="2" borderId="4" xfId="17" applyFont="1" applyBorder="1">
      <alignment horizontal="left" vertical="top" wrapText="1"/>
    </xf>
    <xf numFmtId="0" fontId="43" fillId="2" borderId="4" xfId="18" applyFont="1" applyBorder="1"/>
    <xf numFmtId="0" fontId="42" fillId="2" borderId="5" xfId="17" applyFont="1" applyBorder="1">
      <alignment horizontal="left" vertical="top" wrapText="1"/>
    </xf>
    <xf numFmtId="0" fontId="43" fillId="2" borderId="5" xfId="18" applyFont="1" applyBorder="1"/>
  </cellXfs>
  <cellStyles count="130">
    <cellStyle name="Comma" xfId="15" builtinId="3"/>
    <cellStyle name="Comma 2" xfId="16" xr:uid="{00000000-0005-0000-0000-000001000000}"/>
    <cellStyle name="Comma 3" xfId="28" xr:uid="{00000000-0005-0000-0000-000002000000}"/>
    <cellStyle name="Comma 4" xfId="115" xr:uid="{00000000-0005-0000-0000-000003000000}"/>
    <cellStyle name="Normal" xfId="0" builtinId="0"/>
    <cellStyle name="Normal 10" xfId="92" xr:uid="{00000000-0005-0000-0000-000005000000}"/>
    <cellStyle name="Normal 11" xfId="103" xr:uid="{00000000-0005-0000-0000-000006000000}"/>
    <cellStyle name="Normal 2" xfId="18" xr:uid="{00000000-0005-0000-0000-000007000000}"/>
    <cellStyle name="Normal 2 2" xfId="26" xr:uid="{00000000-0005-0000-0000-000008000000}"/>
    <cellStyle name="Normal 2 3" xfId="48" xr:uid="{00000000-0005-0000-0000-000009000000}"/>
    <cellStyle name="Normal 3" xfId="27" xr:uid="{00000000-0005-0000-0000-00000A000000}"/>
    <cellStyle name="Normal 3 2" xfId="127" xr:uid="{00000000-0005-0000-0000-00000B000000}"/>
    <cellStyle name="Normal 4" xfId="30" xr:uid="{00000000-0005-0000-0000-00000C000000}"/>
    <cellStyle name="Normal 4 2" xfId="116" xr:uid="{00000000-0005-0000-0000-00000D000000}"/>
    <cellStyle name="Normal 5" xfId="40" xr:uid="{00000000-0005-0000-0000-00000E000000}"/>
    <cellStyle name="Normal 6" xfId="41" xr:uid="{00000000-0005-0000-0000-00000F000000}"/>
    <cellStyle name="Normal 7" xfId="57" xr:uid="{00000000-0005-0000-0000-000010000000}"/>
    <cellStyle name="Normal 8" xfId="68" xr:uid="{00000000-0005-0000-0000-000011000000}"/>
    <cellStyle name="Normal 8 2" xfId="117" xr:uid="{00000000-0005-0000-0000-000012000000}"/>
    <cellStyle name="Normal 8 3" xfId="119" xr:uid="{00000000-0005-0000-0000-000013000000}"/>
    <cellStyle name="Normal 9" xfId="81" xr:uid="{00000000-0005-0000-0000-000014000000}"/>
    <cellStyle name="Style 1" xfId="1" xr:uid="{00000000-0005-0000-0000-000015000000}"/>
    <cellStyle name="Style 10" xfId="10" xr:uid="{00000000-0005-0000-0000-000016000000}"/>
    <cellStyle name="Style 10 2" xfId="21" xr:uid="{00000000-0005-0000-0000-000017000000}"/>
    <cellStyle name="Style 10 2 2" xfId="51" xr:uid="{00000000-0005-0000-0000-000018000000}"/>
    <cellStyle name="Style 10 3" xfId="33" xr:uid="{00000000-0005-0000-0000-000019000000}"/>
    <cellStyle name="Style 10 4" xfId="42" xr:uid="{00000000-0005-0000-0000-00001A000000}"/>
    <cellStyle name="Style 10 5" xfId="60" xr:uid="{00000000-0005-0000-0000-00001B000000}"/>
    <cellStyle name="Style 10 6" xfId="71" xr:uid="{00000000-0005-0000-0000-00001C000000}"/>
    <cellStyle name="Style 10 6 2" xfId="122" xr:uid="{00000000-0005-0000-0000-00001D000000}"/>
    <cellStyle name="Style 10 7" xfId="84" xr:uid="{00000000-0005-0000-0000-00001E000000}"/>
    <cellStyle name="Style 10 8" xfId="95" xr:uid="{00000000-0005-0000-0000-00001F000000}"/>
    <cellStyle name="Style 10 9" xfId="106" xr:uid="{00000000-0005-0000-0000-000020000000}"/>
    <cellStyle name="Style 11" xfId="11" xr:uid="{00000000-0005-0000-0000-000021000000}"/>
    <cellStyle name="Style 12" xfId="12" xr:uid="{00000000-0005-0000-0000-000022000000}"/>
    <cellStyle name="Style 12 2" xfId="23" xr:uid="{00000000-0005-0000-0000-000023000000}"/>
    <cellStyle name="Style 12 2 2" xfId="53" xr:uid="{00000000-0005-0000-0000-000024000000}"/>
    <cellStyle name="Style 12 3" xfId="35" xr:uid="{00000000-0005-0000-0000-000025000000}"/>
    <cellStyle name="Style 12 4" xfId="62" xr:uid="{00000000-0005-0000-0000-000026000000}"/>
    <cellStyle name="Style 12 5" xfId="73" xr:uid="{00000000-0005-0000-0000-000027000000}"/>
    <cellStyle name="Style 12 5 2" xfId="124" xr:uid="{00000000-0005-0000-0000-000028000000}"/>
    <cellStyle name="Style 12 6" xfId="86" xr:uid="{00000000-0005-0000-0000-000029000000}"/>
    <cellStyle name="Style 12 7" xfId="97" xr:uid="{00000000-0005-0000-0000-00002A000000}"/>
    <cellStyle name="Style 12 8" xfId="108" xr:uid="{00000000-0005-0000-0000-00002B000000}"/>
    <cellStyle name="Style 13" xfId="13" xr:uid="{00000000-0005-0000-0000-00002C000000}"/>
    <cellStyle name="Style 13 10" xfId="109" xr:uid="{00000000-0005-0000-0000-00002D000000}"/>
    <cellStyle name="Style 13 2" xfId="24" xr:uid="{00000000-0005-0000-0000-00002E000000}"/>
    <cellStyle name="Style 13 2 2" xfId="54" xr:uid="{00000000-0005-0000-0000-00002F000000}"/>
    <cellStyle name="Style 13 2 3" xfId="113" xr:uid="{00000000-0005-0000-0000-000030000000}"/>
    <cellStyle name="Style 13 3" xfId="36" xr:uid="{00000000-0005-0000-0000-000031000000}"/>
    <cellStyle name="Style 13 4" xfId="43" xr:uid="{00000000-0005-0000-0000-000032000000}"/>
    <cellStyle name="Style 13 5" xfId="63" xr:uid="{00000000-0005-0000-0000-000033000000}"/>
    <cellStyle name="Style 13 6" xfId="74" xr:uid="{00000000-0005-0000-0000-000034000000}"/>
    <cellStyle name="Style 13 7" xfId="78" xr:uid="{00000000-0005-0000-0000-000035000000}"/>
    <cellStyle name="Style 13 7 2" xfId="128" xr:uid="{00000000-0005-0000-0000-000036000000}"/>
    <cellStyle name="Style 13 8" xfId="87" xr:uid="{00000000-0005-0000-0000-000037000000}"/>
    <cellStyle name="Style 13 9" xfId="98" xr:uid="{00000000-0005-0000-0000-000038000000}"/>
    <cellStyle name="Style 14" xfId="14" xr:uid="{00000000-0005-0000-0000-000039000000}"/>
    <cellStyle name="Style 14 10" xfId="110" xr:uid="{00000000-0005-0000-0000-00003A000000}"/>
    <cellStyle name="Style 14 2" xfId="25" xr:uid="{00000000-0005-0000-0000-00003B000000}"/>
    <cellStyle name="Style 14 2 2" xfId="55" xr:uid="{00000000-0005-0000-0000-00003C000000}"/>
    <cellStyle name="Style 14 2 3" xfId="114" xr:uid="{00000000-0005-0000-0000-00003D000000}"/>
    <cellStyle name="Style 14 3" xfId="37" xr:uid="{00000000-0005-0000-0000-00003E000000}"/>
    <cellStyle name="Style 14 4" xfId="44" xr:uid="{00000000-0005-0000-0000-00003F000000}"/>
    <cellStyle name="Style 14 5" xfId="64" xr:uid="{00000000-0005-0000-0000-000040000000}"/>
    <cellStyle name="Style 14 6" xfId="75" xr:uid="{00000000-0005-0000-0000-000041000000}"/>
    <cellStyle name="Style 14 6 2" xfId="125" xr:uid="{00000000-0005-0000-0000-000042000000}"/>
    <cellStyle name="Style 14 7" xfId="79" xr:uid="{00000000-0005-0000-0000-000043000000}"/>
    <cellStyle name="Style 14 7 2" xfId="129" xr:uid="{00000000-0005-0000-0000-000044000000}"/>
    <cellStyle name="Style 14 8" xfId="88" xr:uid="{00000000-0005-0000-0000-000045000000}"/>
    <cellStyle name="Style 14 9" xfId="99" xr:uid="{00000000-0005-0000-0000-000046000000}"/>
    <cellStyle name="Style 15" xfId="38" xr:uid="{00000000-0005-0000-0000-000047000000}"/>
    <cellStyle name="Style 15 2" xfId="45" xr:uid="{00000000-0005-0000-0000-000048000000}"/>
    <cellStyle name="Style 15 3" xfId="65" xr:uid="{00000000-0005-0000-0000-000049000000}"/>
    <cellStyle name="Style 15 4" xfId="76" xr:uid="{00000000-0005-0000-0000-00004A000000}"/>
    <cellStyle name="Style 15 4 2" xfId="126" xr:uid="{00000000-0005-0000-0000-00004B000000}"/>
    <cellStyle name="Style 15 5" xfId="89" xr:uid="{00000000-0005-0000-0000-00004C000000}"/>
    <cellStyle name="Style 15 6" xfId="100" xr:uid="{00000000-0005-0000-0000-00004D000000}"/>
    <cellStyle name="Style 15 7" xfId="111" xr:uid="{00000000-0005-0000-0000-00004E000000}"/>
    <cellStyle name="Style 16" xfId="39" xr:uid="{00000000-0005-0000-0000-00004F000000}"/>
    <cellStyle name="Style 16 2" xfId="46" xr:uid="{00000000-0005-0000-0000-000050000000}"/>
    <cellStyle name="Style 16 3" xfId="66" xr:uid="{00000000-0005-0000-0000-000051000000}"/>
    <cellStyle name="Style 16 4" xfId="77" xr:uid="{00000000-0005-0000-0000-000052000000}"/>
    <cellStyle name="Style 16 5" xfId="90" xr:uid="{00000000-0005-0000-0000-000053000000}"/>
    <cellStyle name="Style 16 6" xfId="101" xr:uid="{00000000-0005-0000-0000-000054000000}"/>
    <cellStyle name="Style 16 7" xfId="112" xr:uid="{00000000-0005-0000-0000-000055000000}"/>
    <cellStyle name="Style 2" xfId="2" xr:uid="{00000000-0005-0000-0000-000056000000}"/>
    <cellStyle name="Style 2 2" xfId="17" xr:uid="{00000000-0005-0000-0000-000057000000}"/>
    <cellStyle name="Style 2 2 2" xfId="47" xr:uid="{00000000-0005-0000-0000-000058000000}"/>
    <cellStyle name="Style 2 3" xfId="29" xr:uid="{00000000-0005-0000-0000-000059000000}"/>
    <cellStyle name="Style 2 4" xfId="56" xr:uid="{00000000-0005-0000-0000-00005A000000}"/>
    <cellStyle name="Style 2 5" xfId="67" xr:uid="{00000000-0005-0000-0000-00005B000000}"/>
    <cellStyle name="Style 2 5 2" xfId="118" xr:uid="{00000000-0005-0000-0000-00005C000000}"/>
    <cellStyle name="Style 2 6" xfId="80" xr:uid="{00000000-0005-0000-0000-00005D000000}"/>
    <cellStyle name="Style 2 7" xfId="91" xr:uid="{00000000-0005-0000-0000-00005E000000}"/>
    <cellStyle name="Style 2 8" xfId="102" xr:uid="{00000000-0005-0000-0000-00005F000000}"/>
    <cellStyle name="Style 3" xfId="3" xr:uid="{00000000-0005-0000-0000-000060000000}"/>
    <cellStyle name="Style 4" xfId="4" xr:uid="{00000000-0005-0000-0000-000061000000}"/>
    <cellStyle name="Style 5" xfId="5" xr:uid="{00000000-0005-0000-0000-000062000000}"/>
    <cellStyle name="Style 6" xfId="6" xr:uid="{00000000-0005-0000-0000-000063000000}"/>
    <cellStyle name="Style 6 2" xfId="22" xr:uid="{00000000-0005-0000-0000-000064000000}"/>
    <cellStyle name="Style 6 2 2" xfId="52" xr:uid="{00000000-0005-0000-0000-000065000000}"/>
    <cellStyle name="Style 6 3" xfId="34" xr:uid="{00000000-0005-0000-0000-000066000000}"/>
    <cellStyle name="Style 6 4" xfId="61" xr:uid="{00000000-0005-0000-0000-000067000000}"/>
    <cellStyle name="Style 6 5" xfId="72" xr:uid="{00000000-0005-0000-0000-000068000000}"/>
    <cellStyle name="Style 6 5 2" xfId="123" xr:uid="{00000000-0005-0000-0000-000069000000}"/>
    <cellStyle name="Style 6 6" xfId="85" xr:uid="{00000000-0005-0000-0000-00006A000000}"/>
    <cellStyle name="Style 6 7" xfId="96" xr:uid="{00000000-0005-0000-0000-00006B000000}"/>
    <cellStyle name="Style 6 8" xfId="107" xr:uid="{00000000-0005-0000-0000-00006C000000}"/>
    <cellStyle name="Style 7" xfId="7" xr:uid="{00000000-0005-0000-0000-00006D000000}"/>
    <cellStyle name="Style 8" xfId="8" xr:uid="{00000000-0005-0000-0000-00006E000000}"/>
    <cellStyle name="Style 8 2" xfId="19" xr:uid="{00000000-0005-0000-0000-00006F000000}"/>
    <cellStyle name="Style 8 2 2" xfId="49" xr:uid="{00000000-0005-0000-0000-000070000000}"/>
    <cellStyle name="Style 8 3" xfId="31" xr:uid="{00000000-0005-0000-0000-000071000000}"/>
    <cellStyle name="Style 8 4" xfId="58" xr:uid="{00000000-0005-0000-0000-000072000000}"/>
    <cellStyle name="Style 8 5" xfId="69" xr:uid="{00000000-0005-0000-0000-000073000000}"/>
    <cellStyle name="Style 8 5 2" xfId="120" xr:uid="{00000000-0005-0000-0000-000074000000}"/>
    <cellStyle name="Style 8 6" xfId="82" xr:uid="{00000000-0005-0000-0000-000075000000}"/>
    <cellStyle name="Style 8 7" xfId="93" xr:uid="{00000000-0005-0000-0000-000076000000}"/>
    <cellStyle name="Style 8 8" xfId="104" xr:uid="{00000000-0005-0000-0000-000077000000}"/>
    <cellStyle name="Style 9" xfId="9" xr:uid="{00000000-0005-0000-0000-000078000000}"/>
    <cellStyle name="Style 9 2" xfId="20" xr:uid="{00000000-0005-0000-0000-000079000000}"/>
    <cellStyle name="Style 9 2 2" xfId="50" xr:uid="{00000000-0005-0000-0000-00007A000000}"/>
    <cellStyle name="Style 9 3" xfId="32" xr:uid="{00000000-0005-0000-0000-00007B000000}"/>
    <cellStyle name="Style 9 4" xfId="59" xr:uid="{00000000-0005-0000-0000-00007C000000}"/>
    <cellStyle name="Style 9 5" xfId="70" xr:uid="{00000000-0005-0000-0000-00007D000000}"/>
    <cellStyle name="Style 9 5 2" xfId="121" xr:uid="{00000000-0005-0000-0000-00007E000000}"/>
    <cellStyle name="Style 9 6" xfId="83" xr:uid="{00000000-0005-0000-0000-00007F000000}"/>
    <cellStyle name="Style 9 7" xfId="94" xr:uid="{00000000-0005-0000-0000-000080000000}"/>
    <cellStyle name="Style 9 8" xfId="105" xr:uid="{00000000-0005-0000-0000-00008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7"/>
  <sheetViews>
    <sheetView workbookViewId="0">
      <selection activeCell="G10" sqref="G10"/>
    </sheetView>
  </sheetViews>
  <sheetFormatPr defaultRowHeight="15" customHeight="1" x14ac:dyDescent="0.25"/>
  <cols>
    <col min="1" max="1" width="3.33203125" style="25" customWidth="1"/>
    <col min="2" max="3" width="1.6640625" style="25" customWidth="1"/>
    <col min="4" max="4" width="35.44140625" style="25" customWidth="1"/>
    <col min="5" max="5" width="10.6640625" style="35" customWidth="1"/>
    <col min="6" max="6" width="19.44140625" style="25" customWidth="1"/>
    <col min="7" max="7" width="19" style="25" customWidth="1"/>
    <col min="8" max="8" width="19.88671875" style="25" customWidth="1"/>
    <col min="9" max="16384" width="8.88671875" style="25"/>
  </cols>
  <sheetData>
    <row r="1" spans="1:8" ht="15" customHeight="1" x14ac:dyDescent="0.25">
      <c r="A1" s="24" t="s">
        <v>0</v>
      </c>
    </row>
    <row r="2" spans="1:8" ht="15" customHeight="1" x14ac:dyDescent="0.25">
      <c r="A2" s="26" t="s">
        <v>1</v>
      </c>
    </row>
    <row r="3" spans="1:8" ht="15" customHeight="1" x14ac:dyDescent="0.25">
      <c r="A3" s="24" t="s">
        <v>72</v>
      </c>
    </row>
    <row r="4" spans="1:8" ht="15" customHeight="1" x14ac:dyDescent="0.25">
      <c r="A4" s="24" t="s">
        <v>270</v>
      </c>
    </row>
    <row r="6" spans="1:8" ht="15" customHeight="1" thickBot="1" x14ac:dyDescent="0.3">
      <c r="E6" s="7" t="s">
        <v>64</v>
      </c>
      <c r="F6" s="27">
        <v>2024</v>
      </c>
      <c r="G6" s="27">
        <v>2023</v>
      </c>
      <c r="H6" s="27" t="s">
        <v>3</v>
      </c>
    </row>
    <row r="7" spans="1:8" ht="15" customHeight="1" thickTop="1" x14ac:dyDescent="0.25">
      <c r="A7" s="28"/>
      <c r="B7" s="28"/>
      <c r="C7" s="28"/>
      <c r="D7" s="28"/>
      <c r="E7" s="36"/>
      <c r="F7" s="28"/>
      <c r="G7" s="28"/>
      <c r="H7" s="28"/>
    </row>
    <row r="8" spans="1:8" ht="15" customHeight="1" x14ac:dyDescent="0.25">
      <c r="A8" s="262" t="s">
        <v>4</v>
      </c>
      <c r="B8" s="262"/>
      <c r="C8" s="262"/>
      <c r="D8" s="262"/>
    </row>
    <row r="9" spans="1:8" ht="15" customHeight="1" x14ac:dyDescent="0.25">
      <c r="A9" s="24" t="s">
        <v>5</v>
      </c>
      <c r="F9" s="21"/>
      <c r="G9" s="21"/>
    </row>
    <row r="10" spans="1:8" ht="15" customHeight="1" x14ac:dyDescent="0.25">
      <c r="B10" s="34" t="s">
        <v>6</v>
      </c>
      <c r="E10" s="35">
        <v>3</v>
      </c>
      <c r="F10" s="30">
        <f>'Detailed SFP'!F16</f>
        <v>42321084.019999996</v>
      </c>
      <c r="G10" s="30">
        <f>'Detailed SFP'!G16</f>
        <v>43104717.310000002</v>
      </c>
      <c r="H10" s="33">
        <f>F10-G10</f>
        <v>-783633.29000000656</v>
      </c>
    </row>
    <row r="11" spans="1:8" ht="15" customHeight="1" x14ac:dyDescent="0.25">
      <c r="B11" s="29" t="s">
        <v>7</v>
      </c>
      <c r="E11" s="35">
        <v>4</v>
      </c>
      <c r="F11" s="30">
        <f>'Detailed SFP'!F19</f>
        <v>120967251.34999999</v>
      </c>
      <c r="G11" s="30">
        <f>'Detailed SFP'!G19</f>
        <v>100387677.53</v>
      </c>
      <c r="H11" s="33">
        <f t="shared" ref="H11:H14" si="0">F11-G11</f>
        <v>20579573.819999993</v>
      </c>
    </row>
    <row r="12" spans="1:8" ht="15" customHeight="1" x14ac:dyDescent="0.25">
      <c r="B12" s="34" t="s">
        <v>8</v>
      </c>
      <c r="E12" s="35">
        <v>5</v>
      </c>
      <c r="F12" s="30">
        <f>'Detailed SFP'!F33</f>
        <v>8424219.1199999992</v>
      </c>
      <c r="G12" s="30">
        <f>'Detailed SFP'!G33</f>
        <v>5912635.5600000005</v>
      </c>
      <c r="H12" s="33">
        <f t="shared" si="0"/>
        <v>2511583.5599999987</v>
      </c>
    </row>
    <row r="13" spans="1:8" ht="15" customHeight="1" x14ac:dyDescent="0.25">
      <c r="B13" s="34" t="s">
        <v>9</v>
      </c>
      <c r="E13" s="35">
        <v>6</v>
      </c>
      <c r="F13" s="30">
        <f>'Detailed SFP'!F40</f>
        <v>927101.60000000009</v>
      </c>
      <c r="G13" s="30">
        <f>'Detailed SFP'!G40</f>
        <v>753714.19000000006</v>
      </c>
      <c r="H13" s="33">
        <f t="shared" si="0"/>
        <v>173387.41000000003</v>
      </c>
    </row>
    <row r="14" spans="1:8" ht="15" customHeight="1" x14ac:dyDescent="0.25">
      <c r="A14" s="39"/>
      <c r="B14" s="40" t="s">
        <v>181</v>
      </c>
      <c r="C14" s="41"/>
      <c r="D14" s="41"/>
      <c r="E14" s="42">
        <v>7</v>
      </c>
      <c r="F14" s="44">
        <f>'Detailed SFP'!F53</f>
        <v>4440164.5999999996</v>
      </c>
      <c r="G14" s="44">
        <f>'Detailed SFP'!G53</f>
        <v>3490131.8899999997</v>
      </c>
      <c r="H14" s="43">
        <f t="shared" si="0"/>
        <v>950032.71</v>
      </c>
    </row>
    <row r="15" spans="1:8" ht="15" customHeight="1" x14ac:dyDescent="0.25">
      <c r="A15" s="24" t="s">
        <v>10</v>
      </c>
      <c r="B15" s="24"/>
      <c r="C15" s="24"/>
      <c r="F15" s="32">
        <f>SUM(F10:F14)</f>
        <v>177079820.69</v>
      </c>
      <c r="G15" s="32">
        <f>SUM(G10:G14)</f>
        <v>153648876.47999999</v>
      </c>
      <c r="H15" s="32">
        <f t="shared" ref="H15" si="1">SUM(H10:H14)</f>
        <v>23430944.209999986</v>
      </c>
    </row>
    <row r="16" spans="1:8" ht="15" customHeight="1" x14ac:dyDescent="0.25">
      <c r="A16" s="31"/>
      <c r="B16" s="31"/>
      <c r="C16" s="31"/>
      <c r="D16" s="31"/>
      <c r="E16" s="37"/>
      <c r="F16" s="31"/>
      <c r="G16" s="31"/>
      <c r="H16" s="31"/>
    </row>
    <row r="17" spans="1:8" ht="15" customHeight="1" x14ac:dyDescent="0.25">
      <c r="A17" s="24" t="s">
        <v>11</v>
      </c>
    </row>
    <row r="18" spans="1:8" ht="15" customHeight="1" x14ac:dyDescent="0.25">
      <c r="B18" s="29" t="s">
        <v>182</v>
      </c>
      <c r="E18" s="35">
        <v>8</v>
      </c>
      <c r="F18" s="30">
        <v>15000000</v>
      </c>
      <c r="G18" s="30">
        <v>15000000</v>
      </c>
      <c r="H18" s="33">
        <f t="shared" ref="H18:H21" si="2">F18-G18</f>
        <v>0</v>
      </c>
    </row>
    <row r="19" spans="1:8" ht="15" customHeight="1" x14ac:dyDescent="0.25">
      <c r="B19" s="29" t="s">
        <v>89</v>
      </c>
      <c r="F19" s="30">
        <v>15000</v>
      </c>
      <c r="G19" s="30">
        <v>15000</v>
      </c>
      <c r="H19" s="33">
        <f t="shared" si="2"/>
        <v>0</v>
      </c>
    </row>
    <row r="20" spans="1:8" ht="15" customHeight="1" x14ac:dyDescent="0.25">
      <c r="B20" s="29" t="s">
        <v>61</v>
      </c>
      <c r="E20" s="35">
        <v>9</v>
      </c>
      <c r="F20" s="30">
        <f>'Detailed SFP'!F71</f>
        <v>96878357.900000006</v>
      </c>
      <c r="G20" s="30">
        <f>'Detailed SFP'!G71</f>
        <v>82165633.060000002</v>
      </c>
      <c r="H20" s="33">
        <f t="shared" si="2"/>
        <v>14712724.840000004</v>
      </c>
    </row>
    <row r="21" spans="1:8" ht="15" customHeight="1" x14ac:dyDescent="0.25">
      <c r="A21" s="41"/>
      <c r="B21" s="40" t="s">
        <v>12</v>
      </c>
      <c r="C21" s="41"/>
      <c r="D21" s="41"/>
      <c r="E21" s="42">
        <v>10</v>
      </c>
      <c r="F21" s="44">
        <f>'Detailed SFP'!F101</f>
        <v>7473924.9500000011</v>
      </c>
      <c r="G21" s="44">
        <f>'Detailed SFP'!G101</f>
        <v>8757638.3500000015</v>
      </c>
      <c r="H21" s="43">
        <f t="shared" si="2"/>
        <v>-1283713.4000000004</v>
      </c>
    </row>
    <row r="22" spans="1:8" ht="15" customHeight="1" x14ac:dyDescent="0.25">
      <c r="A22" s="24" t="s">
        <v>13</v>
      </c>
      <c r="F22" s="32">
        <f>SUM(F18:F21)</f>
        <v>119367282.85000001</v>
      </c>
      <c r="G22" s="32">
        <f>SUM(G18:G21)</f>
        <v>105938271.41</v>
      </c>
      <c r="H22" s="32">
        <f>SUM(H18:H21)</f>
        <v>13429011.440000003</v>
      </c>
    </row>
    <row r="23" spans="1:8" ht="15" customHeight="1" x14ac:dyDescent="0.25">
      <c r="A23" s="31"/>
      <c r="B23" s="31"/>
      <c r="C23" s="31"/>
      <c r="D23" s="31"/>
      <c r="E23" s="37"/>
      <c r="F23" s="31"/>
      <c r="G23" s="31"/>
      <c r="H23" s="31"/>
    </row>
    <row r="24" spans="1:8" ht="15" customHeight="1" thickBot="1" x14ac:dyDescent="0.3">
      <c r="A24" s="24" t="s">
        <v>14</v>
      </c>
      <c r="F24" s="32">
        <f>F22+F15</f>
        <v>296447103.54000002</v>
      </c>
      <c r="G24" s="32">
        <f>G22+G15</f>
        <v>259587147.88999999</v>
      </c>
      <c r="H24" s="32">
        <f>H22+H15</f>
        <v>36859955.649999991</v>
      </c>
    </row>
    <row r="25" spans="1:8" ht="15" customHeight="1" thickTop="1" x14ac:dyDescent="0.25">
      <c r="A25" s="28"/>
      <c r="B25" s="28"/>
      <c r="C25" s="28"/>
      <c r="D25" s="28"/>
      <c r="E25" s="36"/>
      <c r="F25" s="28"/>
      <c r="G25" s="28"/>
      <c r="H25" s="28"/>
    </row>
    <row r="27" spans="1:8" ht="15" customHeight="1" x14ac:dyDescent="0.25">
      <c r="A27" s="262" t="s">
        <v>65</v>
      </c>
      <c r="B27" s="262"/>
      <c r="C27" s="262"/>
      <c r="D27" s="262"/>
    </row>
    <row r="28" spans="1:8" ht="15" customHeight="1" x14ac:dyDescent="0.25">
      <c r="A28" s="24" t="s">
        <v>15</v>
      </c>
    </row>
    <row r="29" spans="1:8" ht="15" customHeight="1" x14ac:dyDescent="0.25">
      <c r="B29" s="34" t="s">
        <v>16</v>
      </c>
      <c r="E29" s="35">
        <v>11</v>
      </c>
      <c r="F29" s="30">
        <f>'Detailed SFP'!F114</f>
        <v>18533336.879999999</v>
      </c>
      <c r="G29" s="30">
        <f>'Detailed SFP'!G114</f>
        <v>9628089.4400000013</v>
      </c>
      <c r="H29" s="33">
        <f t="shared" ref="H29:H34" si="3">F29-G29</f>
        <v>8905247.4399999976</v>
      </c>
    </row>
    <row r="30" spans="1:8" ht="15" customHeight="1" x14ac:dyDescent="0.25">
      <c r="B30" s="34" t="s">
        <v>17</v>
      </c>
      <c r="E30" s="35">
        <v>12</v>
      </c>
      <c r="F30" s="30">
        <f>'Detailed SFP'!F123</f>
        <v>69006853.150000006</v>
      </c>
      <c r="G30" s="30">
        <f>'Detailed SFP'!G123</f>
        <v>63410329.020000003</v>
      </c>
      <c r="H30" s="33">
        <f t="shared" si="3"/>
        <v>5596524.1300000027</v>
      </c>
    </row>
    <row r="31" spans="1:8" ht="15" customHeight="1" x14ac:dyDescent="0.25">
      <c r="B31" s="34" t="s">
        <v>255</v>
      </c>
      <c r="E31" s="35">
        <v>13</v>
      </c>
      <c r="F31" s="30">
        <f>'Detailed SFP'!F126</f>
        <v>3015801.43</v>
      </c>
      <c r="G31" s="30">
        <f>'Detailed SFP'!G126</f>
        <v>0</v>
      </c>
      <c r="H31" s="33">
        <f t="shared" si="3"/>
        <v>3015801.43</v>
      </c>
    </row>
    <row r="32" spans="1:8" ht="15" customHeight="1" x14ac:dyDescent="0.25">
      <c r="B32" s="29" t="s">
        <v>18</v>
      </c>
      <c r="E32" s="35">
        <v>14</v>
      </c>
      <c r="F32" s="30">
        <f>'Detailed SFP'!F132</f>
        <v>8936707.5700000003</v>
      </c>
      <c r="G32" s="30">
        <f>'Detailed SFP'!G132</f>
        <v>10673048.66</v>
      </c>
      <c r="H32" s="33">
        <f t="shared" si="3"/>
        <v>-1736341.0899999999</v>
      </c>
    </row>
    <row r="33" spans="1:8" ht="15" customHeight="1" x14ac:dyDescent="0.25">
      <c r="B33" s="29" t="s">
        <v>263</v>
      </c>
      <c r="F33" s="30">
        <f>'Detailed SFP'!F135</f>
        <v>65699535.670000002</v>
      </c>
      <c r="G33" s="30">
        <f>'Detailed SFP'!G135</f>
        <v>58389106.5</v>
      </c>
      <c r="H33" s="30">
        <f>'Detailed SFP'!H135</f>
        <v>7310429.1700000018</v>
      </c>
    </row>
    <row r="34" spans="1:8" ht="15" customHeight="1" x14ac:dyDescent="0.25">
      <c r="A34" s="41"/>
      <c r="B34" s="39" t="s">
        <v>19</v>
      </c>
      <c r="C34" s="41"/>
      <c r="D34" s="41"/>
      <c r="E34" s="42"/>
      <c r="F34" s="44">
        <f>'Detailed SFP'!F138</f>
        <v>481421.54</v>
      </c>
      <c r="G34" s="44">
        <f>'Detailed SFP'!G138</f>
        <v>416637.35</v>
      </c>
      <c r="H34" s="43">
        <f t="shared" si="3"/>
        <v>64784.19</v>
      </c>
    </row>
    <row r="35" spans="1:8" ht="15" customHeight="1" x14ac:dyDescent="0.25">
      <c r="A35" s="24" t="s">
        <v>20</v>
      </c>
      <c r="F35" s="32">
        <f>SUM(F29:F34)</f>
        <v>165673656.23999998</v>
      </c>
      <c r="G35" s="32">
        <f>SUM(G29:G34)</f>
        <v>142517210.97</v>
      </c>
      <c r="H35" s="32">
        <f>SUM(H29:H34)</f>
        <v>23156445.270000003</v>
      </c>
    </row>
    <row r="36" spans="1:8" ht="15" customHeight="1" x14ac:dyDescent="0.25">
      <c r="A36" s="31"/>
      <c r="B36" s="31"/>
      <c r="C36" s="31"/>
      <c r="D36" s="31"/>
      <c r="E36" s="37"/>
      <c r="F36" s="31"/>
      <c r="G36" s="31"/>
      <c r="H36" s="31"/>
    </row>
    <row r="37" spans="1:8" ht="15" customHeight="1" x14ac:dyDescent="0.25">
      <c r="A37" s="24" t="s">
        <v>21</v>
      </c>
    </row>
    <row r="38" spans="1:8" ht="15" customHeight="1" x14ac:dyDescent="0.25">
      <c r="A38" s="41"/>
      <c r="B38" s="40" t="s">
        <v>17</v>
      </c>
      <c r="C38" s="41"/>
      <c r="D38" s="41"/>
      <c r="E38" s="42">
        <v>15</v>
      </c>
      <c r="F38" s="44">
        <f>'Detailed SFP'!F144</f>
        <v>13411809.51</v>
      </c>
      <c r="G38" s="44">
        <f>'Detailed SFP'!G144</f>
        <v>13411809.51</v>
      </c>
      <c r="H38" s="44">
        <f>F38-G38</f>
        <v>0</v>
      </c>
    </row>
    <row r="39" spans="1:8" ht="15" customHeight="1" x14ac:dyDescent="0.25">
      <c r="A39" s="24" t="s">
        <v>22</v>
      </c>
      <c r="F39" s="32">
        <f>F38</f>
        <v>13411809.51</v>
      </c>
      <c r="G39" s="32">
        <f>G38</f>
        <v>13411809.51</v>
      </c>
      <c r="H39" s="32">
        <f>H38</f>
        <v>0</v>
      </c>
    </row>
    <row r="40" spans="1:8" ht="15" customHeight="1" x14ac:dyDescent="0.25">
      <c r="A40" s="31"/>
      <c r="B40" s="31"/>
      <c r="C40" s="31"/>
      <c r="D40" s="31"/>
      <c r="E40" s="37"/>
      <c r="F40" s="31"/>
      <c r="G40" s="31"/>
      <c r="H40" s="31"/>
    </row>
    <row r="41" spans="1:8" ht="15" customHeight="1" x14ac:dyDescent="0.25">
      <c r="A41" s="48" t="s">
        <v>23</v>
      </c>
      <c r="B41" s="41"/>
      <c r="C41" s="41"/>
      <c r="D41" s="41"/>
      <c r="E41" s="42"/>
      <c r="F41" s="49">
        <f>F39+F35</f>
        <v>179085465.74999997</v>
      </c>
      <c r="G41" s="49">
        <f>G39+G35</f>
        <v>155929020.47999999</v>
      </c>
      <c r="H41" s="49">
        <f t="shared" ref="H41" si="4">H39+H35</f>
        <v>23156445.270000003</v>
      </c>
    </row>
    <row r="42" spans="1:8" ht="15" customHeight="1" x14ac:dyDescent="0.25">
      <c r="A42" s="46"/>
      <c r="B42" s="46"/>
      <c r="C42" s="46"/>
      <c r="D42" s="46"/>
      <c r="E42" s="47"/>
      <c r="F42" s="46"/>
      <c r="G42" s="46"/>
      <c r="H42" s="46"/>
    </row>
    <row r="44" spans="1:8" ht="15" customHeight="1" x14ac:dyDescent="0.25">
      <c r="A44" s="262" t="s">
        <v>66</v>
      </c>
      <c r="B44" s="262"/>
      <c r="C44" s="262"/>
      <c r="D44" s="262"/>
    </row>
    <row r="45" spans="1:8" ht="15" customHeight="1" x14ac:dyDescent="0.25">
      <c r="A45" s="34" t="s">
        <v>24</v>
      </c>
      <c r="E45" s="35">
        <v>16</v>
      </c>
      <c r="F45" s="45">
        <f>'Detailed SFP'!F156</f>
        <v>83143720.230000004</v>
      </c>
      <c r="G45" s="45">
        <f>'Detailed SFP'!G156</f>
        <v>83143720.230000004</v>
      </c>
      <c r="H45" s="33">
        <f t="shared" ref="H45" si="5">F45-G45</f>
        <v>0</v>
      </c>
    </row>
    <row r="46" spans="1:8" ht="15" customHeight="1" x14ac:dyDescent="0.25">
      <c r="A46" s="39" t="s">
        <v>26</v>
      </c>
      <c r="B46" s="41"/>
      <c r="C46" s="41"/>
      <c r="D46" s="41"/>
      <c r="E46" s="42"/>
      <c r="F46" s="44">
        <f>'Detailed SFP'!F160</f>
        <v>34217917.560000002</v>
      </c>
      <c r="G46" s="44">
        <f>'Detailed SFP'!G160</f>
        <v>20514407.18</v>
      </c>
      <c r="H46" s="44">
        <f>F46-G46</f>
        <v>13703510.380000003</v>
      </c>
    </row>
    <row r="47" spans="1:8" ht="15" customHeight="1" x14ac:dyDescent="0.25">
      <c r="A47" s="24" t="s">
        <v>27</v>
      </c>
      <c r="F47" s="32">
        <f>F45+F46</f>
        <v>117361637.79000001</v>
      </c>
      <c r="G47" s="32">
        <f>G45+G46</f>
        <v>103658127.41</v>
      </c>
      <c r="H47" s="32">
        <f t="shared" ref="H47" si="6">H45+H46</f>
        <v>13703510.380000003</v>
      </c>
    </row>
    <row r="48" spans="1:8" ht="15" customHeight="1" x14ac:dyDescent="0.25">
      <c r="A48" s="31"/>
      <c r="B48" s="31"/>
      <c r="C48" s="31"/>
      <c r="D48" s="31"/>
      <c r="E48" s="37"/>
      <c r="F48" s="31"/>
      <c r="G48" s="31"/>
      <c r="H48" s="31"/>
    </row>
    <row r="49" spans="1:8" ht="15" customHeight="1" thickBot="1" x14ac:dyDescent="0.3">
      <c r="A49" s="24" t="s">
        <v>28</v>
      </c>
      <c r="F49" s="32">
        <f>F47+F41</f>
        <v>296447103.53999996</v>
      </c>
      <c r="G49" s="32">
        <f>G47+G41</f>
        <v>259587147.88999999</v>
      </c>
      <c r="H49" s="32">
        <f t="shared" ref="H49" si="7">H47+H41</f>
        <v>36859955.650000006</v>
      </c>
    </row>
    <row r="50" spans="1:8" ht="16.2" customHeight="1" thickTop="1" x14ac:dyDescent="0.25">
      <c r="A50" s="28"/>
      <c r="B50" s="28"/>
      <c r="C50" s="28"/>
      <c r="D50" s="28"/>
      <c r="E50" s="36"/>
      <c r="F50" s="20">
        <f>F49-F24</f>
        <v>0</v>
      </c>
      <c r="G50" s="20">
        <f>G49-G24</f>
        <v>0</v>
      </c>
      <c r="H50" s="20">
        <f>H49-H24</f>
        <v>0</v>
      </c>
    </row>
    <row r="51" spans="1:8" s="9" customFormat="1" ht="15" customHeight="1" x14ac:dyDescent="0.3">
      <c r="A51" s="1" t="s">
        <v>60</v>
      </c>
      <c r="B51" s="4"/>
      <c r="C51" s="4"/>
      <c r="D51" s="4"/>
      <c r="E51" s="2"/>
    </row>
    <row r="52" spans="1:8" s="9" customFormat="1" ht="15" customHeight="1" x14ac:dyDescent="0.25">
      <c r="A52" s="4"/>
      <c r="B52" s="4"/>
      <c r="C52" s="4"/>
      <c r="D52" s="4"/>
      <c r="E52" s="38"/>
      <c r="F52" s="2"/>
      <c r="G52" s="21"/>
    </row>
    <row r="53" spans="1:8" s="9" customFormat="1" ht="15" customHeight="1" x14ac:dyDescent="0.25">
      <c r="A53" s="3"/>
      <c r="B53" s="3"/>
      <c r="C53" s="3"/>
      <c r="D53" s="3"/>
      <c r="E53" s="38"/>
      <c r="F53" s="2"/>
      <c r="G53" s="23"/>
    </row>
    <row r="54" spans="1:8" s="9" customFormat="1" ht="15" customHeight="1" x14ac:dyDescent="0.25">
      <c r="A54" s="3"/>
      <c r="B54" s="3"/>
      <c r="C54" s="3"/>
      <c r="D54" s="3"/>
      <c r="E54" s="2"/>
      <c r="F54" s="2"/>
      <c r="G54" s="23"/>
    </row>
    <row r="55" spans="1:8" s="9" customFormat="1" ht="15" customHeight="1" x14ac:dyDescent="0.25">
      <c r="A55" s="3"/>
      <c r="B55" s="3"/>
      <c r="C55" s="3"/>
      <c r="D55" s="3"/>
      <c r="E55" s="2"/>
      <c r="F55" s="8"/>
    </row>
    <row r="56" spans="1:8" s="9" customFormat="1" ht="15" customHeight="1" x14ac:dyDescent="0.3">
      <c r="A56" s="5"/>
      <c r="B56" s="3"/>
      <c r="C56" s="3"/>
      <c r="D56" s="3"/>
      <c r="E56" s="2"/>
      <c r="F56" s="8"/>
    </row>
    <row r="57" spans="1:8" s="9" customFormat="1" ht="15" customHeight="1" x14ac:dyDescent="0.3">
      <c r="A57" s="6"/>
      <c r="B57" s="3"/>
      <c r="C57" s="3"/>
      <c r="D57" s="3"/>
      <c r="E57" s="2"/>
      <c r="F57" s="8"/>
    </row>
  </sheetData>
  <mergeCells count="3">
    <mergeCell ref="A8:D8"/>
    <mergeCell ref="A27:D27"/>
    <mergeCell ref="A44:D44"/>
  </mergeCells>
  <printOptions horizontalCentered="1"/>
  <pageMargins left="0.2" right="0.2" top="0.75" bottom="0.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J171"/>
  <sheetViews>
    <sheetView workbookViewId="0">
      <selection activeCell="F11" sqref="F11:F14"/>
    </sheetView>
  </sheetViews>
  <sheetFormatPr defaultRowHeight="15" customHeight="1" x14ac:dyDescent="0.25"/>
  <cols>
    <col min="1" max="1" width="3.33203125" style="103" customWidth="1"/>
    <col min="2" max="3" width="1.6640625" style="103" customWidth="1"/>
    <col min="4" max="4" width="48.77734375" style="103" customWidth="1"/>
    <col min="5" max="5" width="15.33203125" style="104" customWidth="1"/>
    <col min="6" max="6" width="19" style="103" customWidth="1"/>
    <col min="7" max="7" width="19.88671875" style="103" customWidth="1"/>
    <col min="8" max="8" width="17.77734375" style="103" customWidth="1"/>
    <col min="9" max="9" width="26.21875" style="224" bestFit="1" customWidth="1"/>
    <col min="10" max="10" width="17.33203125" style="224" customWidth="1"/>
    <col min="11" max="16384" width="8.88671875" style="103"/>
  </cols>
  <sheetData>
    <row r="1" spans="1:8" ht="15" customHeight="1" x14ac:dyDescent="0.3">
      <c r="A1" s="102" t="s">
        <v>0</v>
      </c>
      <c r="G1" s="256"/>
    </row>
    <row r="2" spans="1:8" ht="15" customHeight="1" x14ac:dyDescent="0.25">
      <c r="A2" s="105" t="s">
        <v>1</v>
      </c>
      <c r="G2" s="255"/>
    </row>
    <row r="3" spans="1:8" ht="15" customHeight="1" x14ac:dyDescent="0.25">
      <c r="A3" s="102" t="s">
        <v>2</v>
      </c>
    </row>
    <row r="4" spans="1:8" ht="15" customHeight="1" x14ac:dyDescent="0.25">
      <c r="A4" s="102" t="str">
        <f>SFP!A4</f>
        <v>As of March 31, 2024</v>
      </c>
    </row>
    <row r="6" spans="1:8" ht="15" customHeight="1" thickBot="1" x14ac:dyDescent="0.35">
      <c r="E6" s="106" t="s">
        <v>73</v>
      </c>
      <c r="F6" s="107">
        <f>SFP!F6</f>
        <v>2024</v>
      </c>
      <c r="G6" s="107">
        <f>SFP!G6</f>
        <v>2023</v>
      </c>
      <c r="H6" s="107" t="s">
        <v>3</v>
      </c>
    </row>
    <row r="7" spans="1:8" ht="15" customHeight="1" thickTop="1" x14ac:dyDescent="0.25">
      <c r="A7" s="108"/>
      <c r="B7" s="108"/>
      <c r="C7" s="108"/>
      <c r="D7" s="108"/>
      <c r="E7" s="109"/>
      <c r="F7" s="108"/>
      <c r="G7" s="108"/>
      <c r="H7" s="108"/>
    </row>
    <row r="8" spans="1:8" ht="15" customHeight="1" x14ac:dyDescent="0.25">
      <c r="A8" s="102" t="s">
        <v>4</v>
      </c>
    </row>
    <row r="9" spans="1:8" ht="15" customHeight="1" x14ac:dyDescent="0.25">
      <c r="A9" s="102" t="s">
        <v>5</v>
      </c>
    </row>
    <row r="10" spans="1:8" ht="15" customHeight="1" x14ac:dyDescent="0.25">
      <c r="A10" s="102" t="s">
        <v>6</v>
      </c>
      <c r="E10" s="104">
        <v>3</v>
      </c>
    </row>
    <row r="11" spans="1:8" ht="15" customHeight="1" x14ac:dyDescent="0.25">
      <c r="A11" s="110" t="s">
        <v>254</v>
      </c>
      <c r="F11" s="111">
        <v>39255.9</v>
      </c>
      <c r="G11" s="111">
        <v>0</v>
      </c>
      <c r="H11" s="111">
        <f>F11-G11</f>
        <v>39255.9</v>
      </c>
    </row>
    <row r="12" spans="1:8" ht="15" customHeight="1" x14ac:dyDescent="0.25">
      <c r="A12" s="110" t="s">
        <v>239</v>
      </c>
      <c r="F12" s="111">
        <v>20000</v>
      </c>
      <c r="G12" s="111">
        <v>20000</v>
      </c>
      <c r="H12" s="111">
        <f>F12-G12</f>
        <v>0</v>
      </c>
    </row>
    <row r="13" spans="1:8" ht="15" customHeight="1" x14ac:dyDescent="0.25">
      <c r="A13" s="110" t="s">
        <v>183</v>
      </c>
    </row>
    <row r="14" spans="1:8" ht="15" customHeight="1" x14ac:dyDescent="0.25">
      <c r="B14" s="110" t="s">
        <v>184</v>
      </c>
      <c r="F14" s="111">
        <f>17478600.27+4783227.85</f>
        <v>22261828.119999997</v>
      </c>
      <c r="G14" s="111">
        <v>23084717.309999999</v>
      </c>
      <c r="H14" s="111">
        <f>F14-G14</f>
        <v>-822889.19000000134</v>
      </c>
    </row>
    <row r="15" spans="1:8" ht="15" customHeight="1" x14ac:dyDescent="0.25">
      <c r="A15" s="103" t="s">
        <v>268</v>
      </c>
      <c r="B15" s="110"/>
      <c r="F15" s="111">
        <v>20000000</v>
      </c>
      <c r="G15" s="111">
        <v>20000000</v>
      </c>
      <c r="H15" s="111">
        <f>F15-G15</f>
        <v>0</v>
      </c>
    </row>
    <row r="16" spans="1:8" ht="15" customHeight="1" x14ac:dyDescent="0.25">
      <c r="D16" s="112" t="s">
        <v>74</v>
      </c>
      <c r="E16" s="113"/>
      <c r="F16" s="111">
        <f>SUM(F11:F15)</f>
        <v>42321084.019999996</v>
      </c>
      <c r="G16" s="111">
        <f t="shared" ref="G16:H16" si="0">SUM(G11:G15)</f>
        <v>43104717.310000002</v>
      </c>
      <c r="H16" s="111">
        <f t="shared" si="0"/>
        <v>-783633.29000000132</v>
      </c>
    </row>
    <row r="18" spans="1:8" ht="15" customHeight="1" x14ac:dyDescent="0.25">
      <c r="A18" s="102" t="s">
        <v>89</v>
      </c>
    </row>
    <row r="19" spans="1:8" ht="15" customHeight="1" x14ac:dyDescent="0.25">
      <c r="B19" s="110" t="s">
        <v>185</v>
      </c>
      <c r="E19" s="104">
        <v>4</v>
      </c>
      <c r="F19" s="111">
        <v>120967251.34999999</v>
      </c>
      <c r="G19" s="111">
        <v>100387677.53</v>
      </c>
      <c r="H19" s="111">
        <f t="shared" ref="H19" si="1">F19-G19</f>
        <v>20579573.819999993</v>
      </c>
    </row>
    <row r="21" spans="1:8" ht="15" customHeight="1" x14ac:dyDescent="0.25">
      <c r="A21" s="102" t="s">
        <v>8</v>
      </c>
      <c r="E21" s="104">
        <v>5</v>
      </c>
    </row>
    <row r="22" spans="1:8" ht="15" customHeight="1" x14ac:dyDescent="0.25">
      <c r="A22" s="110" t="s">
        <v>75</v>
      </c>
    </row>
    <row r="23" spans="1:8" ht="15" customHeight="1" x14ac:dyDescent="0.25">
      <c r="B23" s="110" t="s">
        <v>186</v>
      </c>
      <c r="F23" s="111">
        <v>290096.55</v>
      </c>
      <c r="G23" s="111">
        <v>388046.55</v>
      </c>
      <c r="H23" s="111">
        <f t="shared" ref="H23:H32" si="2">F23-G23</f>
        <v>-97950</v>
      </c>
    </row>
    <row r="24" spans="1:8" ht="15" customHeight="1" x14ac:dyDescent="0.25">
      <c r="B24" s="110" t="s">
        <v>76</v>
      </c>
      <c r="F24" s="111">
        <v>44918.35</v>
      </c>
      <c r="G24" s="111">
        <v>0</v>
      </c>
      <c r="H24" s="111">
        <f t="shared" si="2"/>
        <v>44918.35</v>
      </c>
    </row>
    <row r="25" spans="1:8" ht="15" customHeight="1" x14ac:dyDescent="0.25">
      <c r="A25" s="110" t="s">
        <v>77</v>
      </c>
      <c r="B25" s="110"/>
      <c r="F25" s="111"/>
      <c r="G25" s="111"/>
      <c r="H25" s="111"/>
    </row>
    <row r="26" spans="1:8" ht="15" customHeight="1" x14ac:dyDescent="0.25">
      <c r="B26" s="110" t="s">
        <v>244</v>
      </c>
      <c r="F26" s="111">
        <v>605912.61</v>
      </c>
      <c r="G26" s="111">
        <v>1009763.33</v>
      </c>
      <c r="H26" s="111">
        <f t="shared" si="2"/>
        <v>-403850.72</v>
      </c>
    </row>
    <row r="27" spans="1:8" ht="15" customHeight="1" x14ac:dyDescent="0.25">
      <c r="B27" s="110" t="s">
        <v>243</v>
      </c>
      <c r="F27" s="111">
        <v>7058.82</v>
      </c>
      <c r="G27" s="111">
        <v>77058.820000000007</v>
      </c>
      <c r="H27" s="111">
        <f t="shared" si="2"/>
        <v>-70000</v>
      </c>
    </row>
    <row r="28" spans="1:8" ht="15" customHeight="1" x14ac:dyDescent="0.25">
      <c r="A28" s="110" t="s">
        <v>242</v>
      </c>
    </row>
    <row r="29" spans="1:8" ht="15" customHeight="1" x14ac:dyDescent="0.25">
      <c r="B29" s="110" t="s">
        <v>78</v>
      </c>
      <c r="F29" s="246">
        <v>5039044.9400000004</v>
      </c>
      <c r="G29" s="246">
        <v>2267936.29</v>
      </c>
      <c r="H29" s="111">
        <f t="shared" si="2"/>
        <v>2771108.6500000004</v>
      </c>
    </row>
    <row r="30" spans="1:8" ht="15" customHeight="1" x14ac:dyDescent="0.25">
      <c r="A30" s="110" t="s">
        <v>79</v>
      </c>
    </row>
    <row r="31" spans="1:8" ht="15" customHeight="1" x14ac:dyDescent="0.25">
      <c r="B31" s="110" t="s">
        <v>80</v>
      </c>
      <c r="F31" s="111">
        <v>1197370.6499999999</v>
      </c>
      <c r="G31" s="111">
        <v>873426.17</v>
      </c>
      <c r="H31" s="111">
        <f t="shared" si="2"/>
        <v>323944.47999999986</v>
      </c>
    </row>
    <row r="32" spans="1:8" ht="15" customHeight="1" x14ac:dyDescent="0.25">
      <c r="B32" s="110" t="s">
        <v>79</v>
      </c>
      <c r="F32" s="111">
        <v>1239817.2</v>
      </c>
      <c r="G32" s="111">
        <v>1296404.3999999999</v>
      </c>
      <c r="H32" s="111">
        <f t="shared" si="2"/>
        <v>-56587.199999999953</v>
      </c>
    </row>
    <row r="33" spans="1:8" ht="15" customHeight="1" x14ac:dyDescent="0.25">
      <c r="D33" s="112" t="s">
        <v>74</v>
      </c>
      <c r="E33" s="113"/>
      <c r="F33" s="111">
        <f>SUM(F23:F32)</f>
        <v>8424219.1199999992</v>
      </c>
      <c r="G33" s="111">
        <f t="shared" ref="G33:H33" si="3">SUM(G23:G32)</f>
        <v>5912635.5600000005</v>
      </c>
      <c r="H33" s="111">
        <f t="shared" si="3"/>
        <v>2511583.5600000005</v>
      </c>
    </row>
    <row r="35" spans="1:8" ht="15" customHeight="1" x14ac:dyDescent="0.25">
      <c r="A35" s="102" t="s">
        <v>9</v>
      </c>
      <c r="E35" s="104">
        <v>6</v>
      </c>
    </row>
    <row r="36" spans="1:8" ht="15" customHeight="1" x14ac:dyDescent="0.25">
      <c r="A36" s="110" t="s">
        <v>81</v>
      </c>
    </row>
    <row r="37" spans="1:8" ht="15" customHeight="1" x14ac:dyDescent="0.25">
      <c r="B37" s="110" t="s">
        <v>269</v>
      </c>
      <c r="F37" s="111">
        <v>569867.01</v>
      </c>
      <c r="G37" s="111">
        <v>514097.58</v>
      </c>
      <c r="H37" s="111">
        <f t="shared" ref="H37:H39" si="4">F37-G37</f>
        <v>55769.429999999993</v>
      </c>
    </row>
    <row r="38" spans="1:8" ht="15" customHeight="1" x14ac:dyDescent="0.25">
      <c r="B38" s="110" t="s">
        <v>245</v>
      </c>
      <c r="F38" s="111">
        <v>167622.06</v>
      </c>
      <c r="G38" s="111">
        <v>170251.46</v>
      </c>
      <c r="H38" s="111">
        <f t="shared" si="4"/>
        <v>-2629.3999999999942</v>
      </c>
    </row>
    <row r="39" spans="1:8" ht="15" customHeight="1" x14ac:dyDescent="0.25">
      <c r="B39" s="110" t="s">
        <v>246</v>
      </c>
      <c r="F39" s="111">
        <v>189612.53</v>
      </c>
      <c r="G39" s="111">
        <v>69365.149999999994</v>
      </c>
      <c r="H39" s="111">
        <f t="shared" si="4"/>
        <v>120247.38</v>
      </c>
    </row>
    <row r="40" spans="1:8" ht="15" customHeight="1" x14ac:dyDescent="0.25">
      <c r="B40" s="110"/>
      <c r="D40" s="112" t="s">
        <v>74</v>
      </c>
      <c r="F40" s="111">
        <f>SUM(F37:F39)</f>
        <v>927101.60000000009</v>
      </c>
      <c r="G40" s="111">
        <f t="shared" ref="G40:H40" si="5">SUM(G37:G39)</f>
        <v>753714.19000000006</v>
      </c>
      <c r="H40" s="111">
        <f t="shared" si="5"/>
        <v>173387.41</v>
      </c>
    </row>
    <row r="42" spans="1:8" ht="15" customHeight="1" x14ac:dyDescent="0.25">
      <c r="A42" s="102" t="s">
        <v>181</v>
      </c>
      <c r="E42" s="104">
        <v>7</v>
      </c>
    </row>
    <row r="43" spans="1:8" ht="15" customHeight="1" x14ac:dyDescent="0.25">
      <c r="A43" s="110" t="s">
        <v>232</v>
      </c>
    </row>
    <row r="44" spans="1:8" ht="15" customHeight="1" x14ac:dyDescent="0.25">
      <c r="A44" s="102"/>
      <c r="B44" s="103" t="s">
        <v>233</v>
      </c>
      <c r="F44" s="258">
        <v>368116.99</v>
      </c>
      <c r="G44" s="258">
        <v>22950</v>
      </c>
      <c r="H44" s="258">
        <f>F44-G44</f>
        <v>345166.99</v>
      </c>
    </row>
    <row r="45" spans="1:8" ht="15" customHeight="1" x14ac:dyDescent="0.25">
      <c r="A45" s="110" t="s">
        <v>82</v>
      </c>
    </row>
    <row r="46" spans="1:8" ht="15" customHeight="1" x14ac:dyDescent="0.25">
      <c r="B46" s="110" t="s">
        <v>83</v>
      </c>
      <c r="F46" s="111">
        <v>1642423.42</v>
      </c>
      <c r="G46" s="111">
        <v>1668343.4</v>
      </c>
      <c r="H46" s="111">
        <f t="shared" ref="H46:H52" si="6">F46-G46</f>
        <v>-25919.979999999981</v>
      </c>
    </row>
    <row r="47" spans="1:8" ht="15" customHeight="1" x14ac:dyDescent="0.25">
      <c r="B47" s="110" t="s">
        <v>252</v>
      </c>
      <c r="F47" s="111">
        <v>81288.19</v>
      </c>
      <c r="G47" s="111">
        <v>0</v>
      </c>
      <c r="H47" s="111">
        <f t="shared" si="6"/>
        <v>81288.19</v>
      </c>
    </row>
    <row r="48" spans="1:8" ht="15" customHeight="1" x14ac:dyDescent="0.25">
      <c r="B48" s="110" t="s">
        <v>84</v>
      </c>
      <c r="F48" s="111">
        <v>306001.90999999997</v>
      </c>
      <c r="G48" s="111">
        <v>10080</v>
      </c>
      <c r="H48" s="111">
        <f t="shared" si="6"/>
        <v>295921.90999999997</v>
      </c>
    </row>
    <row r="49" spans="1:8" ht="15" customHeight="1" x14ac:dyDescent="0.25">
      <c r="A49" s="110" t="s">
        <v>85</v>
      </c>
    </row>
    <row r="50" spans="1:8" ht="15" customHeight="1" x14ac:dyDescent="0.25">
      <c r="B50" s="110" t="s">
        <v>86</v>
      </c>
      <c r="F50" s="111">
        <v>168884</v>
      </c>
      <c r="G50" s="111">
        <v>168884</v>
      </c>
      <c r="H50" s="111">
        <f t="shared" si="6"/>
        <v>0</v>
      </c>
    </row>
    <row r="51" spans="1:8" ht="15" customHeight="1" x14ac:dyDescent="0.25">
      <c r="A51" s="110" t="s">
        <v>87</v>
      </c>
    </row>
    <row r="52" spans="1:8" ht="15" customHeight="1" x14ac:dyDescent="0.25">
      <c r="B52" s="110" t="s">
        <v>87</v>
      </c>
      <c r="F52" s="111">
        <v>1873450.09</v>
      </c>
      <c r="G52" s="111">
        <v>1619874.49</v>
      </c>
      <c r="H52" s="111">
        <f t="shared" si="6"/>
        <v>253575.60000000009</v>
      </c>
    </row>
    <row r="53" spans="1:8" ht="15" customHeight="1" x14ac:dyDescent="0.25">
      <c r="D53" s="112" t="s">
        <v>74</v>
      </c>
      <c r="E53" s="113"/>
      <c r="F53" s="111">
        <f>SUM(F44:F52)</f>
        <v>4440164.5999999996</v>
      </c>
      <c r="G53" s="111">
        <f>SUM(G44:G52)</f>
        <v>3490131.8899999997</v>
      </c>
      <c r="H53" s="111">
        <f>SUM(H44:H52)</f>
        <v>950032.71000000008</v>
      </c>
    </row>
    <row r="54" spans="1:8" ht="15" customHeight="1" x14ac:dyDescent="0.25">
      <c r="A54" s="114"/>
      <c r="B54" s="114"/>
      <c r="C54" s="114"/>
      <c r="D54" s="114"/>
      <c r="E54" s="115"/>
      <c r="F54" s="114"/>
      <c r="G54" s="114"/>
      <c r="H54" s="114"/>
    </row>
    <row r="55" spans="1:8" ht="15" customHeight="1" x14ac:dyDescent="0.25">
      <c r="C55" s="102" t="s">
        <v>10</v>
      </c>
      <c r="F55" s="116">
        <f>F53+F40+F33+F19+F16</f>
        <v>177079820.69</v>
      </c>
      <c r="G55" s="116">
        <f>G53+G40+G33+G19+G16</f>
        <v>153648876.48000002</v>
      </c>
      <c r="H55" s="116">
        <f>H53+H40+H33+H19+H16</f>
        <v>23430944.20999999</v>
      </c>
    </row>
    <row r="56" spans="1:8" ht="15" customHeight="1" x14ac:dyDescent="0.25">
      <c r="A56" s="114"/>
      <c r="B56" s="114"/>
      <c r="C56" s="114"/>
      <c r="D56" s="114"/>
      <c r="E56" s="115"/>
      <c r="F56" s="249"/>
      <c r="G56" s="114"/>
      <c r="H56" s="114"/>
    </row>
    <row r="57" spans="1:8" ht="15" customHeight="1" x14ac:dyDescent="0.25">
      <c r="A57" s="102" t="s">
        <v>11</v>
      </c>
    </row>
    <row r="58" spans="1:8" ht="15" customHeight="1" x14ac:dyDescent="0.25">
      <c r="A58" s="110" t="s">
        <v>88</v>
      </c>
      <c r="E58" s="104">
        <v>8</v>
      </c>
    </row>
    <row r="59" spans="1:8" ht="15" customHeight="1" x14ac:dyDescent="0.25">
      <c r="B59" s="110" t="s">
        <v>88</v>
      </c>
      <c r="F59" s="111">
        <v>15000000</v>
      </c>
      <c r="G59" s="111">
        <v>15000000</v>
      </c>
      <c r="H59" s="111">
        <f t="shared" ref="H59:H62" si="7">F59-G59</f>
        <v>0</v>
      </c>
    </row>
    <row r="60" spans="1:8" ht="15" customHeight="1" x14ac:dyDescent="0.25">
      <c r="A60" s="110" t="s">
        <v>89</v>
      </c>
    </row>
    <row r="61" spans="1:8" ht="15" customHeight="1" x14ac:dyDescent="0.25">
      <c r="B61" s="110" t="s">
        <v>90</v>
      </c>
      <c r="F61" s="111">
        <v>15000</v>
      </c>
      <c r="G61" s="111">
        <v>15000</v>
      </c>
      <c r="H61" s="111">
        <f t="shared" si="7"/>
        <v>0</v>
      </c>
    </row>
    <row r="62" spans="1:8" ht="15" customHeight="1" x14ac:dyDescent="0.25">
      <c r="D62" s="112" t="s">
        <v>74</v>
      </c>
      <c r="E62" s="113"/>
      <c r="F62" s="111">
        <f>SUM(F59:F61)</f>
        <v>15015000</v>
      </c>
      <c r="G62" s="111">
        <f>SUM(G59:G61)</f>
        <v>15015000</v>
      </c>
      <c r="H62" s="111">
        <f t="shared" si="7"/>
        <v>0</v>
      </c>
    </row>
    <row r="64" spans="1:8" ht="15" customHeight="1" x14ac:dyDescent="0.25">
      <c r="A64" s="102" t="s">
        <v>61</v>
      </c>
      <c r="E64" s="104">
        <v>9</v>
      </c>
    </row>
    <row r="65" spans="1:8" ht="15" customHeight="1" x14ac:dyDescent="0.25">
      <c r="A65" s="110" t="s">
        <v>91</v>
      </c>
    </row>
    <row r="66" spans="1:8" ht="15" customHeight="1" x14ac:dyDescent="0.25">
      <c r="B66" s="110" t="s">
        <v>92</v>
      </c>
      <c r="F66" s="111">
        <v>16416169.4</v>
      </c>
      <c r="G66" s="111">
        <v>16416169.4</v>
      </c>
      <c r="H66" s="111">
        <f t="shared" ref="H66:H70" si="8">F66-G66</f>
        <v>0</v>
      </c>
    </row>
    <row r="67" spans="1:8" ht="15" customHeight="1" x14ac:dyDescent="0.25">
      <c r="B67" s="110" t="s">
        <v>93</v>
      </c>
      <c r="F67" s="111">
        <v>0</v>
      </c>
      <c r="G67" s="111">
        <v>0</v>
      </c>
      <c r="H67" s="111">
        <f t="shared" si="8"/>
        <v>0</v>
      </c>
    </row>
    <row r="68" spans="1:8" ht="15" customHeight="1" x14ac:dyDescent="0.25">
      <c r="A68" s="110" t="s">
        <v>94</v>
      </c>
    </row>
    <row r="69" spans="1:8" ht="15" customHeight="1" x14ac:dyDescent="0.25">
      <c r="B69" s="110" t="s">
        <v>95</v>
      </c>
      <c r="F69" s="111">
        <v>80261098.5</v>
      </c>
      <c r="G69" s="111">
        <v>65749463.659999996</v>
      </c>
      <c r="H69" s="111">
        <f t="shared" si="8"/>
        <v>14511634.840000004</v>
      </c>
    </row>
    <row r="70" spans="1:8" ht="15" customHeight="1" x14ac:dyDescent="0.25">
      <c r="B70" s="110" t="s">
        <v>264</v>
      </c>
      <c r="F70" s="111">
        <v>201090</v>
      </c>
      <c r="G70" s="111">
        <v>0</v>
      </c>
      <c r="H70" s="111">
        <f t="shared" si="8"/>
        <v>201090</v>
      </c>
    </row>
    <row r="71" spans="1:8" ht="15" customHeight="1" x14ac:dyDescent="0.25">
      <c r="D71" s="112" t="s">
        <v>74</v>
      </c>
      <c r="E71" s="113"/>
      <c r="F71" s="111">
        <f>SUM(F66:F70)</f>
        <v>96878357.900000006</v>
      </c>
      <c r="G71" s="111">
        <f>SUM(G66:G70)</f>
        <v>82165633.060000002</v>
      </c>
      <c r="H71" s="111">
        <f>SUM(H66:H70)</f>
        <v>14712724.840000004</v>
      </c>
    </row>
    <row r="73" spans="1:8" ht="15" customHeight="1" x14ac:dyDescent="0.25">
      <c r="A73" s="102" t="s">
        <v>12</v>
      </c>
      <c r="E73" s="104">
        <v>10</v>
      </c>
    </row>
    <row r="74" spans="1:8" ht="15" customHeight="1" x14ac:dyDescent="0.25">
      <c r="A74" s="110" t="s">
        <v>96</v>
      </c>
    </row>
    <row r="75" spans="1:8" ht="15" customHeight="1" x14ac:dyDescent="0.25">
      <c r="B75" s="110" t="s">
        <v>97</v>
      </c>
      <c r="F75" s="111">
        <v>276082.12</v>
      </c>
      <c r="G75" s="111">
        <v>276082.12</v>
      </c>
      <c r="H75" s="111">
        <f t="shared" ref="H75:H101" si="9">F75-G75</f>
        <v>0</v>
      </c>
    </row>
    <row r="76" spans="1:8" ht="15" customHeight="1" x14ac:dyDescent="0.25">
      <c r="B76" s="110" t="s">
        <v>98</v>
      </c>
      <c r="F76" s="111">
        <v>-262278.01</v>
      </c>
      <c r="G76" s="111">
        <v>-262278.01</v>
      </c>
      <c r="H76" s="111">
        <f t="shared" si="9"/>
        <v>0</v>
      </c>
    </row>
    <row r="77" spans="1:8" ht="15" customHeight="1" x14ac:dyDescent="0.25">
      <c r="A77" s="110" t="s">
        <v>99</v>
      </c>
    </row>
    <row r="78" spans="1:8" ht="15" customHeight="1" x14ac:dyDescent="0.25">
      <c r="B78" s="110" t="s">
        <v>100</v>
      </c>
      <c r="F78" s="111">
        <v>516605.02</v>
      </c>
      <c r="G78" s="111">
        <v>516605.02</v>
      </c>
      <c r="H78" s="111">
        <f t="shared" si="9"/>
        <v>0</v>
      </c>
    </row>
    <row r="79" spans="1:8" ht="15" customHeight="1" x14ac:dyDescent="0.25">
      <c r="B79" s="110" t="s">
        <v>101</v>
      </c>
      <c r="F79" s="111">
        <v>-490774.77</v>
      </c>
      <c r="G79" s="111">
        <v>-490774.77</v>
      </c>
      <c r="H79" s="111">
        <f t="shared" si="9"/>
        <v>0</v>
      </c>
    </row>
    <row r="80" spans="1:8" ht="15" customHeight="1" x14ac:dyDescent="0.25">
      <c r="A80" s="110" t="s">
        <v>102</v>
      </c>
    </row>
    <row r="81" spans="1:8" ht="15" customHeight="1" x14ac:dyDescent="0.25">
      <c r="B81" s="110" t="s">
        <v>103</v>
      </c>
      <c r="F81" s="111">
        <v>9386403.9000000004</v>
      </c>
      <c r="G81" s="111">
        <v>9386403.9000000004</v>
      </c>
      <c r="H81" s="111">
        <f t="shared" si="9"/>
        <v>0</v>
      </c>
    </row>
    <row r="82" spans="1:8" ht="15" customHeight="1" x14ac:dyDescent="0.25">
      <c r="B82" s="110" t="s">
        <v>104</v>
      </c>
      <c r="F82" s="111">
        <v>-5932516.0700000003</v>
      </c>
      <c r="G82" s="111">
        <v>-5463195.9500000002</v>
      </c>
      <c r="H82" s="111">
        <f t="shared" si="9"/>
        <v>-469320.12000000011</v>
      </c>
    </row>
    <row r="83" spans="1:8" ht="15" customHeight="1" x14ac:dyDescent="0.25">
      <c r="B83" s="110" t="s">
        <v>105</v>
      </c>
      <c r="F83" s="111">
        <v>2669275.5099999998</v>
      </c>
      <c r="G83" s="111">
        <v>2669275.5099999998</v>
      </c>
      <c r="H83" s="111">
        <f t="shared" si="9"/>
        <v>0</v>
      </c>
    </row>
    <row r="84" spans="1:8" ht="15" customHeight="1" x14ac:dyDescent="0.25">
      <c r="B84" s="110" t="s">
        <v>106</v>
      </c>
      <c r="F84" s="111">
        <v>-2482771.3199999998</v>
      </c>
      <c r="G84" s="111">
        <v>-2482771.3199999998</v>
      </c>
      <c r="H84" s="111">
        <f t="shared" si="9"/>
        <v>0</v>
      </c>
    </row>
    <row r="85" spans="1:8" ht="15" customHeight="1" x14ac:dyDescent="0.25">
      <c r="A85" s="110" t="s">
        <v>107</v>
      </c>
    </row>
    <row r="86" spans="1:8" ht="15" customHeight="1" x14ac:dyDescent="0.25">
      <c r="B86" s="110" t="s">
        <v>108</v>
      </c>
      <c r="F86" s="111">
        <v>2962485.91</v>
      </c>
      <c r="G86" s="111">
        <v>2847485.91</v>
      </c>
      <c r="H86" s="111">
        <f t="shared" si="9"/>
        <v>115000</v>
      </c>
    </row>
    <row r="87" spans="1:8" ht="15" customHeight="1" x14ac:dyDescent="0.25">
      <c r="B87" s="110" t="s">
        <v>109</v>
      </c>
      <c r="F87" s="111">
        <v>-2365755.21</v>
      </c>
      <c r="G87" s="111">
        <v>-2227577.7999999998</v>
      </c>
      <c r="H87" s="111">
        <f t="shared" si="9"/>
        <v>-138177.41000000015</v>
      </c>
    </row>
    <row r="88" spans="1:8" ht="15" customHeight="1" x14ac:dyDescent="0.25">
      <c r="B88" s="110" t="s">
        <v>110</v>
      </c>
      <c r="F88" s="111">
        <v>2992733.81</v>
      </c>
      <c r="G88" s="111">
        <v>2992733.81</v>
      </c>
      <c r="H88" s="111">
        <f t="shared" si="9"/>
        <v>0</v>
      </c>
    </row>
    <row r="89" spans="1:8" ht="15" customHeight="1" x14ac:dyDescent="0.25">
      <c r="B89" s="110" t="s">
        <v>111</v>
      </c>
      <c r="F89" s="111">
        <v>-1978754.55</v>
      </c>
      <c r="G89" s="111">
        <v>-1705805.19</v>
      </c>
      <c r="H89" s="111">
        <f t="shared" si="9"/>
        <v>-272949.3600000001</v>
      </c>
    </row>
    <row r="90" spans="1:8" ht="15" customHeight="1" x14ac:dyDescent="0.25">
      <c r="B90" s="110" t="s">
        <v>112</v>
      </c>
      <c r="F90" s="111">
        <v>60000</v>
      </c>
      <c r="G90" s="111">
        <v>60000</v>
      </c>
      <c r="H90" s="111">
        <f t="shared" si="9"/>
        <v>0</v>
      </c>
    </row>
    <row r="91" spans="1:8" ht="15" customHeight="1" x14ac:dyDescent="0.25">
      <c r="B91" s="110" t="s">
        <v>113</v>
      </c>
      <c r="F91" s="111">
        <v>-57000</v>
      </c>
      <c r="G91" s="111">
        <v>-57000</v>
      </c>
      <c r="H91" s="111">
        <f t="shared" si="9"/>
        <v>0</v>
      </c>
    </row>
    <row r="92" spans="1:8" ht="15" customHeight="1" x14ac:dyDescent="0.25">
      <c r="B92" s="110" t="s">
        <v>114</v>
      </c>
      <c r="F92" s="111">
        <v>413387.52000000002</v>
      </c>
      <c r="G92" s="111">
        <v>413387.52000000002</v>
      </c>
      <c r="H92" s="111">
        <f t="shared" si="9"/>
        <v>0</v>
      </c>
    </row>
    <row r="93" spans="1:8" ht="15" customHeight="1" x14ac:dyDescent="0.25">
      <c r="B93" s="110" t="s">
        <v>115</v>
      </c>
      <c r="F93" s="111">
        <v>-392718.14</v>
      </c>
      <c r="G93" s="111">
        <v>-392718.14</v>
      </c>
      <c r="H93" s="111">
        <f t="shared" si="9"/>
        <v>0</v>
      </c>
    </row>
    <row r="94" spans="1:8" ht="15" customHeight="1" x14ac:dyDescent="0.25">
      <c r="A94" s="110" t="s">
        <v>116</v>
      </c>
    </row>
    <row r="95" spans="1:8" ht="15" customHeight="1" x14ac:dyDescent="0.25">
      <c r="B95" s="110" t="s">
        <v>117</v>
      </c>
      <c r="F95" s="111">
        <v>901045.01</v>
      </c>
      <c r="G95" s="111">
        <v>901045.01</v>
      </c>
      <c r="H95" s="111">
        <f t="shared" si="9"/>
        <v>0</v>
      </c>
    </row>
    <row r="96" spans="1:8" ht="15" customHeight="1" x14ac:dyDescent="0.25">
      <c r="B96" s="110" t="s">
        <v>118</v>
      </c>
      <c r="F96" s="111">
        <v>-843615.92</v>
      </c>
      <c r="G96" s="111">
        <v>-833524.52</v>
      </c>
      <c r="H96" s="111">
        <f t="shared" si="9"/>
        <v>-10091.400000000023</v>
      </c>
    </row>
    <row r="97" spans="1:8" ht="15" customHeight="1" x14ac:dyDescent="0.25">
      <c r="A97" s="110" t="s">
        <v>119</v>
      </c>
    </row>
    <row r="98" spans="1:8" ht="15" customHeight="1" x14ac:dyDescent="0.25">
      <c r="B98" s="110" t="s">
        <v>120</v>
      </c>
      <c r="F98" s="111">
        <v>8681939.0600000005</v>
      </c>
      <c r="G98" s="111">
        <v>8681939.0600000005</v>
      </c>
      <c r="H98" s="111">
        <f t="shared" si="9"/>
        <v>0</v>
      </c>
    </row>
    <row r="99" spans="1:8" ht="15" customHeight="1" x14ac:dyDescent="0.25">
      <c r="B99" s="110" t="s">
        <v>121</v>
      </c>
      <c r="F99" s="111">
        <v>-6579848.9199999999</v>
      </c>
      <c r="G99" s="111">
        <v>-6071673.8099999996</v>
      </c>
      <c r="H99" s="111">
        <f t="shared" si="9"/>
        <v>-508175.11000000034</v>
      </c>
    </row>
    <row r="100" spans="1:8" ht="15" customHeight="1" x14ac:dyDescent="0.25">
      <c r="A100" s="103" t="s">
        <v>240</v>
      </c>
      <c r="B100" s="110"/>
      <c r="F100" s="111">
        <v>0</v>
      </c>
      <c r="G100" s="111">
        <v>0</v>
      </c>
      <c r="H100" s="111">
        <f t="shared" si="9"/>
        <v>0</v>
      </c>
    </row>
    <row r="101" spans="1:8" ht="15" customHeight="1" x14ac:dyDescent="0.25">
      <c r="D101" s="112" t="s">
        <v>74</v>
      </c>
      <c r="E101" s="113"/>
      <c r="F101" s="111">
        <f>SUM(F75:F100)</f>
        <v>7473924.9500000011</v>
      </c>
      <c r="G101" s="111">
        <f>SUM(G75:G100)</f>
        <v>8757638.3500000015</v>
      </c>
      <c r="H101" s="111">
        <f t="shared" si="9"/>
        <v>-1283713.4000000004</v>
      </c>
    </row>
    <row r="103" spans="1:8" ht="15" customHeight="1" x14ac:dyDescent="0.25">
      <c r="A103" s="114"/>
      <c r="B103" s="114"/>
      <c r="C103" s="114"/>
      <c r="D103" s="114"/>
      <c r="E103" s="115"/>
      <c r="F103" s="114"/>
      <c r="G103" s="114"/>
      <c r="H103" s="114"/>
    </row>
    <row r="104" spans="1:8" ht="15" customHeight="1" x14ac:dyDescent="0.25">
      <c r="A104" s="102" t="s">
        <v>13</v>
      </c>
      <c r="F104" s="116">
        <f>F62+F71+F101</f>
        <v>119367282.85000001</v>
      </c>
      <c r="G104" s="116">
        <f t="shared" ref="G104:H104" si="10">G62+G71+G101</f>
        <v>105938271.41</v>
      </c>
      <c r="H104" s="116">
        <f t="shared" si="10"/>
        <v>13429011.440000003</v>
      </c>
    </row>
    <row r="105" spans="1:8" ht="15" customHeight="1" x14ac:dyDescent="0.25">
      <c r="A105" s="114"/>
      <c r="B105" s="114"/>
      <c r="C105" s="114"/>
      <c r="D105" s="114"/>
      <c r="E105" s="115"/>
      <c r="F105" s="114"/>
      <c r="G105" s="114"/>
      <c r="H105" s="114"/>
    </row>
    <row r="106" spans="1:8" ht="15" customHeight="1" thickBot="1" x14ac:dyDescent="0.3">
      <c r="A106" s="102" t="s">
        <v>14</v>
      </c>
      <c r="F106" s="116">
        <f>F104+F55</f>
        <v>296447103.54000002</v>
      </c>
      <c r="G106" s="116">
        <f>G104+G55</f>
        <v>259587147.89000002</v>
      </c>
      <c r="H106" s="116">
        <f>H104+H55</f>
        <v>36859955.649999991</v>
      </c>
    </row>
    <row r="107" spans="1:8" ht="15" customHeight="1" thickTop="1" x14ac:dyDescent="0.25">
      <c r="A107" s="108"/>
      <c r="B107" s="108"/>
      <c r="C107" s="108"/>
      <c r="D107" s="108"/>
      <c r="E107" s="109"/>
      <c r="F107" s="247"/>
      <c r="G107" s="108"/>
      <c r="H107" s="108"/>
    </row>
    <row r="108" spans="1:8" ht="15" customHeight="1" x14ac:dyDescent="0.25">
      <c r="F108" s="243"/>
    </row>
    <row r="109" spans="1:8" ht="15" customHeight="1" x14ac:dyDescent="0.25">
      <c r="A109" s="102" t="s">
        <v>122</v>
      </c>
    </row>
    <row r="110" spans="1:8" ht="15" customHeight="1" x14ac:dyDescent="0.25">
      <c r="A110" s="102" t="s">
        <v>15</v>
      </c>
    </row>
    <row r="111" spans="1:8" ht="15" customHeight="1" x14ac:dyDescent="0.25">
      <c r="A111" s="102" t="s">
        <v>16</v>
      </c>
      <c r="E111" s="104">
        <v>11</v>
      </c>
    </row>
    <row r="112" spans="1:8" ht="15" customHeight="1" x14ac:dyDescent="0.25">
      <c r="B112" s="110" t="s">
        <v>123</v>
      </c>
      <c r="F112" s="111">
        <f>14829447.64+912353.7</f>
        <v>15741801.34</v>
      </c>
      <c r="G112" s="111">
        <v>6531292.1100000003</v>
      </c>
      <c r="H112" s="111">
        <f t="shared" ref="H112:H123" si="11">F112-G112</f>
        <v>9210509.2300000004</v>
      </c>
    </row>
    <row r="113" spans="1:8" ht="15" customHeight="1" x14ac:dyDescent="0.25">
      <c r="B113" s="110" t="s">
        <v>247</v>
      </c>
      <c r="F113" s="111">
        <v>2791535.54</v>
      </c>
      <c r="G113" s="111">
        <v>3096797.33</v>
      </c>
      <c r="H113" s="111">
        <f t="shared" si="11"/>
        <v>-305261.79000000004</v>
      </c>
    </row>
    <row r="114" spans="1:8" ht="15" customHeight="1" x14ac:dyDescent="0.25">
      <c r="B114" s="110"/>
      <c r="D114" s="112" t="s">
        <v>74</v>
      </c>
      <c r="F114" s="111">
        <f>SUM(F112:F113)</f>
        <v>18533336.879999999</v>
      </c>
      <c r="G114" s="111">
        <f t="shared" ref="G114:H114" si="12">SUM(G112:G113)</f>
        <v>9628089.4400000013</v>
      </c>
      <c r="H114" s="111">
        <f t="shared" si="12"/>
        <v>8905247.4400000013</v>
      </c>
    </row>
    <row r="115" spans="1:8" ht="15" customHeight="1" x14ac:dyDescent="0.25">
      <c r="B115" s="110"/>
      <c r="F115" s="111"/>
      <c r="G115" s="111"/>
      <c r="H115" s="111"/>
    </row>
    <row r="116" spans="1:8" ht="15" customHeight="1" x14ac:dyDescent="0.25">
      <c r="A116" s="102" t="s">
        <v>17</v>
      </c>
      <c r="E116" s="104">
        <v>12</v>
      </c>
    </row>
    <row r="117" spans="1:8" ht="15" customHeight="1" x14ac:dyDescent="0.25">
      <c r="B117" s="110" t="s">
        <v>124</v>
      </c>
      <c r="F117" s="111">
        <v>599666.88</v>
      </c>
      <c r="G117" s="111">
        <v>603759.65</v>
      </c>
      <c r="H117" s="111">
        <f t="shared" si="11"/>
        <v>-4092.7700000000186</v>
      </c>
    </row>
    <row r="118" spans="1:8" ht="15" customHeight="1" x14ac:dyDescent="0.25">
      <c r="B118" s="110" t="s">
        <v>125</v>
      </c>
      <c r="F118" s="111">
        <v>248046.1</v>
      </c>
      <c r="G118" s="111">
        <v>247211.78</v>
      </c>
      <c r="H118" s="111">
        <f t="shared" si="11"/>
        <v>834.32000000000698</v>
      </c>
    </row>
    <row r="119" spans="1:8" ht="15" customHeight="1" x14ac:dyDescent="0.25">
      <c r="B119" s="110" t="s">
        <v>126</v>
      </c>
      <c r="F119" s="111">
        <v>78202.34</v>
      </c>
      <c r="G119" s="111">
        <v>54325.25</v>
      </c>
      <c r="H119" s="111">
        <f t="shared" si="11"/>
        <v>23877.089999999997</v>
      </c>
    </row>
    <row r="120" spans="1:8" ht="15" customHeight="1" x14ac:dyDescent="0.25">
      <c r="B120" s="110" t="s">
        <v>127</v>
      </c>
      <c r="F120" s="111">
        <f>80122.5+37100.58</f>
        <v>117223.08</v>
      </c>
      <c r="G120" s="111">
        <v>105255.56</v>
      </c>
      <c r="H120" s="111">
        <f t="shared" si="11"/>
        <v>11967.520000000004</v>
      </c>
    </row>
    <row r="121" spans="1:8" ht="15" customHeight="1" x14ac:dyDescent="0.25">
      <c r="B121" s="110" t="s">
        <v>128</v>
      </c>
      <c r="F121" s="111">
        <v>66386771.960000001</v>
      </c>
      <c r="G121" s="111">
        <v>61528095.18</v>
      </c>
      <c r="H121" s="111">
        <f t="shared" si="11"/>
        <v>4858676.7800000012</v>
      </c>
    </row>
    <row r="122" spans="1:8" ht="15" customHeight="1" x14ac:dyDescent="0.25">
      <c r="B122" s="110" t="s">
        <v>129</v>
      </c>
      <c r="F122" s="111">
        <v>1576942.79</v>
      </c>
      <c r="G122" s="111">
        <v>871681.6</v>
      </c>
      <c r="H122" s="111">
        <f t="shared" si="11"/>
        <v>705261.19000000006</v>
      </c>
    </row>
    <row r="123" spans="1:8" ht="15" customHeight="1" x14ac:dyDescent="0.25">
      <c r="D123" s="112" t="s">
        <v>74</v>
      </c>
      <c r="E123" s="113"/>
      <c r="F123" s="111">
        <f>SUM(F117:F122)</f>
        <v>69006853.150000006</v>
      </c>
      <c r="G123" s="111">
        <f>SUM(G117:G122)</f>
        <v>63410329.020000003</v>
      </c>
      <c r="H123" s="111">
        <f t="shared" si="11"/>
        <v>5596524.1300000027</v>
      </c>
    </row>
    <row r="125" spans="1:8" ht="15" customHeight="1" x14ac:dyDescent="0.25">
      <c r="A125" s="102" t="s">
        <v>255</v>
      </c>
    </row>
    <row r="126" spans="1:8" ht="15" customHeight="1" x14ac:dyDescent="0.25">
      <c r="B126" s="103" t="s">
        <v>256</v>
      </c>
      <c r="E126" s="104">
        <v>13</v>
      </c>
      <c r="F126" s="224">
        <v>3015801.43</v>
      </c>
      <c r="G126" s="111">
        <v>0</v>
      </c>
      <c r="H126" s="224">
        <f>F126-G126</f>
        <v>3015801.43</v>
      </c>
    </row>
    <row r="128" spans="1:8" ht="15" customHeight="1" x14ac:dyDescent="0.25">
      <c r="A128" s="102" t="s">
        <v>18</v>
      </c>
      <c r="E128" s="104">
        <v>14</v>
      </c>
    </row>
    <row r="129" spans="1:8" ht="15" customHeight="1" x14ac:dyDescent="0.25">
      <c r="B129" s="110" t="s">
        <v>18</v>
      </c>
      <c r="F129" s="111">
        <v>1619879.25</v>
      </c>
      <c r="G129" s="111">
        <v>1731505.02</v>
      </c>
      <c r="H129" s="111">
        <f t="shared" ref="H129:H132" si="13">F129-G129</f>
        <v>-111625.77000000002</v>
      </c>
    </row>
    <row r="130" spans="1:8" ht="15" customHeight="1" x14ac:dyDescent="0.25">
      <c r="B130" s="110" t="s">
        <v>130</v>
      </c>
      <c r="F130" s="111">
        <v>12000</v>
      </c>
      <c r="G130" s="111">
        <v>62000</v>
      </c>
      <c r="H130" s="111">
        <f t="shared" si="13"/>
        <v>-50000</v>
      </c>
    </row>
    <row r="131" spans="1:8" ht="15" customHeight="1" x14ac:dyDescent="0.25">
      <c r="B131" s="110" t="s">
        <v>187</v>
      </c>
      <c r="F131" s="111">
        <v>7304828.3200000003</v>
      </c>
      <c r="G131" s="111">
        <v>8879543.6400000006</v>
      </c>
      <c r="H131" s="111">
        <f t="shared" si="13"/>
        <v>-1574715.3200000003</v>
      </c>
    </row>
    <row r="132" spans="1:8" ht="15" customHeight="1" x14ac:dyDescent="0.25">
      <c r="D132" s="112" t="s">
        <v>74</v>
      </c>
      <c r="E132" s="113"/>
      <c r="F132" s="111">
        <f>SUM(F129:F131)</f>
        <v>8936707.5700000003</v>
      </c>
      <c r="G132" s="111">
        <f>SUM(G129:G131)</f>
        <v>10673048.66</v>
      </c>
      <c r="H132" s="111">
        <f t="shared" si="13"/>
        <v>-1736341.0899999999</v>
      </c>
    </row>
    <row r="133" spans="1:8" ht="15" customHeight="1" x14ac:dyDescent="0.25">
      <c r="D133" s="112"/>
      <c r="E133" s="113"/>
      <c r="F133" s="111"/>
      <c r="G133" s="111"/>
      <c r="H133" s="111"/>
    </row>
    <row r="134" spans="1:8" ht="15" customHeight="1" x14ac:dyDescent="0.25">
      <c r="A134" s="102" t="s">
        <v>260</v>
      </c>
      <c r="D134" s="112"/>
      <c r="E134" s="113"/>
      <c r="F134" s="111"/>
      <c r="G134" s="111"/>
      <c r="H134" s="111"/>
    </row>
    <row r="135" spans="1:8" ht="15" customHeight="1" x14ac:dyDescent="0.25">
      <c r="B135" s="250" t="s">
        <v>261</v>
      </c>
      <c r="D135" s="112"/>
      <c r="E135" s="113"/>
      <c r="F135" s="111">
        <v>65699535.670000002</v>
      </c>
      <c r="G135" s="111">
        <v>58389106.5</v>
      </c>
      <c r="H135" s="111">
        <f t="shared" ref="H135" si="14">F135-G135</f>
        <v>7310429.1700000018</v>
      </c>
    </row>
    <row r="136" spans="1:8" ht="15" customHeight="1" x14ac:dyDescent="0.3">
      <c r="A136" s="119"/>
      <c r="D136" s="112"/>
      <c r="E136" s="113"/>
      <c r="F136" s="111"/>
      <c r="G136" s="111"/>
      <c r="H136" s="111"/>
    </row>
    <row r="137" spans="1:8" ht="15" customHeight="1" x14ac:dyDescent="0.25">
      <c r="A137" s="102" t="s">
        <v>19</v>
      </c>
      <c r="F137" s="224"/>
    </row>
    <row r="138" spans="1:8" ht="15" customHeight="1" x14ac:dyDescent="0.25">
      <c r="B138" s="110" t="s">
        <v>19</v>
      </c>
      <c r="F138" s="111">
        <v>481421.54</v>
      </c>
      <c r="G138" s="111">
        <v>416637.35</v>
      </c>
      <c r="H138" s="111">
        <f t="shared" ref="H138" si="15">F138-G138</f>
        <v>64784.19</v>
      </c>
    </row>
    <row r="139" spans="1:8" ht="15" customHeight="1" x14ac:dyDescent="0.25">
      <c r="A139" s="114"/>
      <c r="B139" s="114"/>
      <c r="C139" s="114"/>
      <c r="D139" s="114"/>
      <c r="E139" s="115"/>
      <c r="F139" s="114"/>
      <c r="G139" s="114"/>
      <c r="H139" s="114"/>
    </row>
    <row r="140" spans="1:8" ht="15" customHeight="1" x14ac:dyDescent="0.25">
      <c r="A140" s="102" t="s">
        <v>20</v>
      </c>
      <c r="F140" s="116">
        <f>F114+F123+F132+F135+F138+F126</f>
        <v>165673656.23999998</v>
      </c>
      <c r="G140" s="116">
        <f t="shared" ref="G140:H140" si="16">G114+G123+G132+G135+G138+G126</f>
        <v>142517210.97</v>
      </c>
      <c r="H140" s="116">
        <f t="shared" si="16"/>
        <v>23156445.270000007</v>
      </c>
    </row>
    <row r="141" spans="1:8" ht="15" customHeight="1" x14ac:dyDescent="0.25">
      <c r="A141" s="114"/>
      <c r="B141" s="114"/>
      <c r="C141" s="114"/>
      <c r="D141" s="114"/>
      <c r="E141" s="115"/>
      <c r="F141" s="251"/>
      <c r="G141" s="249"/>
      <c r="H141" s="252"/>
    </row>
    <row r="142" spans="1:8" ht="15" customHeight="1" x14ac:dyDescent="0.25">
      <c r="A142" s="102" t="s">
        <v>21</v>
      </c>
    </row>
    <row r="143" spans="1:8" ht="15" customHeight="1" x14ac:dyDescent="0.25">
      <c r="A143" s="102" t="s">
        <v>17</v>
      </c>
      <c r="E143" s="104">
        <v>15</v>
      </c>
    </row>
    <row r="144" spans="1:8" ht="15" customHeight="1" x14ac:dyDescent="0.25">
      <c r="B144" s="110" t="s">
        <v>128</v>
      </c>
      <c r="F144" s="111">
        <v>13411809.51</v>
      </c>
      <c r="G144" s="111">
        <v>13411809.51</v>
      </c>
      <c r="H144" s="111">
        <f t="shared" ref="H144" si="17">F144-G144</f>
        <v>0</v>
      </c>
    </row>
    <row r="145" spans="1:8" ht="15" customHeight="1" x14ac:dyDescent="0.25">
      <c r="A145" s="114"/>
      <c r="B145" s="114"/>
      <c r="C145" s="114"/>
      <c r="D145" s="114"/>
      <c r="E145" s="115"/>
      <c r="F145" s="114"/>
      <c r="G145" s="114"/>
      <c r="H145" s="114"/>
    </row>
    <row r="146" spans="1:8" ht="15" customHeight="1" x14ac:dyDescent="0.25">
      <c r="A146" s="102" t="s">
        <v>22</v>
      </c>
      <c r="F146" s="116">
        <f>F144</f>
        <v>13411809.51</v>
      </c>
      <c r="G146" s="116">
        <f>G144</f>
        <v>13411809.51</v>
      </c>
      <c r="H146" s="116">
        <f>H144</f>
        <v>0</v>
      </c>
    </row>
    <row r="147" spans="1:8" ht="15" customHeight="1" x14ac:dyDescent="0.25">
      <c r="A147" s="114"/>
      <c r="B147" s="114"/>
      <c r="C147" s="114"/>
      <c r="D147" s="114"/>
      <c r="E147" s="115"/>
      <c r="F147" s="114"/>
      <c r="G147" s="114"/>
      <c r="H147" s="114"/>
    </row>
    <row r="148" spans="1:8" ht="15" customHeight="1" thickBot="1" x14ac:dyDescent="0.3">
      <c r="A148" s="102" t="s">
        <v>23</v>
      </c>
      <c r="F148" s="116">
        <f>F146+F140</f>
        <v>179085465.74999997</v>
      </c>
      <c r="G148" s="116">
        <f>G146+G140</f>
        <v>155929020.47999999</v>
      </c>
      <c r="H148" s="116">
        <f t="shared" ref="H148" si="18">H146+H140</f>
        <v>23156445.270000007</v>
      </c>
    </row>
    <row r="149" spans="1:8" ht="15" customHeight="1" thickTop="1" x14ac:dyDescent="0.25">
      <c r="A149" s="108"/>
      <c r="B149" s="108"/>
      <c r="C149" s="108"/>
      <c r="D149" s="108"/>
      <c r="E149" s="109"/>
      <c r="F149" s="247"/>
      <c r="G149" s="247"/>
      <c r="H149" s="108"/>
    </row>
    <row r="151" spans="1:8" ht="15" customHeight="1" x14ac:dyDescent="0.25">
      <c r="A151" s="102" t="s">
        <v>131</v>
      </c>
    </row>
    <row r="152" spans="1:8" ht="15" customHeight="1" x14ac:dyDescent="0.25">
      <c r="A152" s="102" t="s">
        <v>24</v>
      </c>
      <c r="E152" s="104">
        <v>16</v>
      </c>
    </row>
    <row r="153" spans="1:8" ht="15" customHeight="1" x14ac:dyDescent="0.25">
      <c r="B153" s="110" t="s">
        <v>25</v>
      </c>
      <c r="F153" s="111">
        <v>68143720.230000004</v>
      </c>
      <c r="G153" s="111">
        <v>68143720.230000004</v>
      </c>
      <c r="H153" s="111">
        <f t="shared" ref="H153:H154" si="19">F153-G153</f>
        <v>0</v>
      </c>
    </row>
    <row r="154" spans="1:8" ht="15" customHeight="1" x14ac:dyDescent="0.25">
      <c r="B154" s="110" t="s">
        <v>132</v>
      </c>
      <c r="F154" s="111">
        <v>15000000</v>
      </c>
      <c r="G154" s="111">
        <v>15000000</v>
      </c>
      <c r="H154" s="111">
        <f t="shared" si="19"/>
        <v>0</v>
      </c>
    </row>
    <row r="155" spans="1:8" ht="15" customHeight="1" x14ac:dyDescent="0.25">
      <c r="A155" s="114"/>
      <c r="B155" s="114"/>
      <c r="C155" s="114"/>
      <c r="D155" s="114"/>
      <c r="E155" s="115"/>
      <c r="F155" s="114"/>
      <c r="G155" s="114"/>
      <c r="H155" s="114"/>
    </row>
    <row r="156" spans="1:8" ht="15" customHeight="1" x14ac:dyDescent="0.25">
      <c r="A156" s="102" t="s">
        <v>74</v>
      </c>
      <c r="F156" s="116">
        <f>SUM(F153:F155)</f>
        <v>83143720.230000004</v>
      </c>
      <c r="G156" s="116">
        <f>SUM(G153:G155)</f>
        <v>83143720.230000004</v>
      </c>
      <c r="H156" s="116">
        <v>0</v>
      </c>
    </row>
    <row r="157" spans="1:8" ht="15" customHeight="1" x14ac:dyDescent="0.25">
      <c r="A157" s="114"/>
      <c r="B157" s="114"/>
      <c r="C157" s="114"/>
      <c r="D157" s="114"/>
      <c r="E157" s="115"/>
      <c r="F157" s="114"/>
      <c r="G157" s="114"/>
      <c r="H157" s="114"/>
    </row>
    <row r="158" spans="1:8" ht="15" customHeight="1" x14ac:dyDescent="0.25">
      <c r="A158" s="102" t="s">
        <v>26</v>
      </c>
      <c r="F158" s="78"/>
      <c r="G158" s="78"/>
    </row>
    <row r="159" spans="1:8" ht="15" customHeight="1" x14ac:dyDescent="0.25">
      <c r="B159" s="110" t="s">
        <v>26</v>
      </c>
      <c r="F159" s="111">
        <f>3614041.76+30603875.8</f>
        <v>34217917.560000002</v>
      </c>
      <c r="G159" s="111">
        <v>20514407.18</v>
      </c>
      <c r="H159" s="111">
        <f t="shared" ref="H159" si="20">F159-G159</f>
        <v>13703510.380000003</v>
      </c>
    </row>
    <row r="160" spans="1:8" ht="15" customHeight="1" x14ac:dyDescent="0.25">
      <c r="A160" s="102" t="s">
        <v>74</v>
      </c>
      <c r="F160" s="116">
        <f>F159</f>
        <v>34217917.560000002</v>
      </c>
      <c r="G160" s="116">
        <f>G159</f>
        <v>20514407.18</v>
      </c>
      <c r="H160" s="116">
        <f t="shared" ref="H160" si="21">H159</f>
        <v>13703510.380000003</v>
      </c>
    </row>
    <row r="161" spans="1:8" ht="15" customHeight="1" x14ac:dyDescent="0.25">
      <c r="A161" s="102" t="s">
        <v>27</v>
      </c>
      <c r="F161" s="116">
        <f>F160+F156</f>
        <v>117361637.79000001</v>
      </c>
      <c r="G161" s="116">
        <f>G160+G156</f>
        <v>103658127.41</v>
      </c>
      <c r="H161" s="116">
        <f t="shared" ref="H161" si="22">H160+H156</f>
        <v>13703510.380000003</v>
      </c>
    </row>
    <row r="162" spans="1:8" ht="15" customHeight="1" x14ac:dyDescent="0.25">
      <c r="A162" s="114"/>
      <c r="B162" s="114"/>
      <c r="C162" s="114"/>
      <c r="D162" s="114"/>
      <c r="E162" s="115"/>
      <c r="F162" s="114"/>
      <c r="G162" s="114"/>
      <c r="H162" s="114"/>
    </row>
    <row r="163" spans="1:8" ht="15" customHeight="1" thickBot="1" x14ac:dyDescent="0.3">
      <c r="A163" s="102" t="s">
        <v>28</v>
      </c>
      <c r="F163" s="116">
        <f>F161+F148</f>
        <v>296447103.53999996</v>
      </c>
      <c r="G163" s="116">
        <f>G161+G148</f>
        <v>259587147.88999999</v>
      </c>
      <c r="H163" s="116">
        <f>H161+H148</f>
        <v>36859955.650000006</v>
      </c>
    </row>
    <row r="164" spans="1:8" ht="15" customHeight="1" thickTop="1" x14ac:dyDescent="0.25">
      <c r="A164" s="108"/>
      <c r="B164" s="108"/>
      <c r="C164" s="108"/>
      <c r="D164" s="108"/>
      <c r="E164" s="109"/>
      <c r="F164" s="117">
        <f>F106-F163</f>
        <v>0</v>
      </c>
      <c r="G164" s="117">
        <f>G106-G163</f>
        <v>0</v>
      </c>
      <c r="H164" s="248">
        <f>H106-H163</f>
        <v>0</v>
      </c>
    </row>
    <row r="165" spans="1:8" ht="15" customHeight="1" x14ac:dyDescent="0.3">
      <c r="A165" s="118" t="s">
        <v>133</v>
      </c>
      <c r="F165" s="243"/>
    </row>
    <row r="166" spans="1:8" ht="15" customHeight="1" x14ac:dyDescent="0.25">
      <c r="F166" s="78"/>
      <c r="G166" s="78"/>
    </row>
    <row r="170" spans="1:8" ht="15" customHeight="1" x14ac:dyDescent="0.3">
      <c r="A170" s="119"/>
    </row>
    <row r="171" spans="1:8" ht="15" customHeight="1" x14ac:dyDescent="0.3">
      <c r="A171" s="120"/>
    </row>
  </sheetData>
  <printOptions horizontalCentered="1"/>
  <pageMargins left="0.2" right="0.2" top="0.75" bottom="0.75" header="0.3" footer="0.3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9"/>
  <sheetViews>
    <sheetView workbookViewId="0">
      <selection activeCell="A2" sqref="A2"/>
    </sheetView>
  </sheetViews>
  <sheetFormatPr defaultRowHeight="15" customHeight="1" x14ac:dyDescent="0.25"/>
  <cols>
    <col min="1" max="2" width="3.33203125" style="13" customWidth="1"/>
    <col min="3" max="3" width="38.44140625" style="13" customWidth="1"/>
    <col min="4" max="4" width="11.21875" style="51" customWidth="1"/>
    <col min="5" max="5" width="17.88671875" style="13" customWidth="1"/>
    <col min="6" max="6" width="18.6640625" style="13" customWidth="1"/>
    <col min="7" max="7" width="18.44140625" style="13" customWidth="1"/>
    <col min="8" max="8" width="15" style="13" bestFit="1" customWidth="1"/>
    <col min="9" max="16384" width="8.88671875" style="13"/>
  </cols>
  <sheetData>
    <row r="1" spans="1:7" ht="15" customHeight="1" x14ac:dyDescent="0.25">
      <c r="A1" s="14" t="s">
        <v>0</v>
      </c>
    </row>
    <row r="2" spans="1:7" ht="15" customHeight="1" x14ac:dyDescent="0.25">
      <c r="A2" s="15" t="s">
        <v>1</v>
      </c>
    </row>
    <row r="3" spans="1:7" ht="15" customHeight="1" x14ac:dyDescent="0.25">
      <c r="A3" s="14" t="s">
        <v>188</v>
      </c>
    </row>
    <row r="4" spans="1:7" ht="15" customHeight="1" x14ac:dyDescent="0.25">
      <c r="A4" s="14" t="str">
        <f>'Detailed SFP'!A4</f>
        <v>As of March 31, 2024</v>
      </c>
    </row>
    <row r="5" spans="1:7" ht="15" customHeight="1" x14ac:dyDescent="0.25">
      <c r="A5" s="14"/>
    </row>
    <row r="7" spans="1:7" ht="15" customHeight="1" thickBot="1" x14ac:dyDescent="0.3">
      <c r="D7" s="7" t="s">
        <v>64</v>
      </c>
      <c r="E7" s="16">
        <f>'Detailed SFP'!F6</f>
        <v>2024</v>
      </c>
      <c r="F7" s="16">
        <f>'Detailed SFP'!G6</f>
        <v>2023</v>
      </c>
      <c r="G7" s="16" t="s">
        <v>3</v>
      </c>
    </row>
    <row r="8" spans="1:7" ht="15" customHeight="1" thickTop="1" x14ac:dyDescent="0.25">
      <c r="A8" s="11"/>
      <c r="B8" s="11"/>
      <c r="C8" s="11"/>
      <c r="D8" s="52"/>
      <c r="E8" s="11"/>
      <c r="F8" s="11"/>
      <c r="G8" s="11"/>
    </row>
    <row r="9" spans="1:7" ht="15" customHeight="1" x14ac:dyDescent="0.25">
      <c r="A9" s="263" t="s">
        <v>189</v>
      </c>
      <c r="B9" s="263"/>
      <c r="C9" s="263"/>
    </row>
    <row r="10" spans="1:7" ht="15" customHeight="1" x14ac:dyDescent="0.25">
      <c r="A10" s="50"/>
      <c r="B10" s="50"/>
      <c r="C10" s="50"/>
    </row>
    <row r="11" spans="1:7" ht="15" customHeight="1" x14ac:dyDescent="0.25">
      <c r="A11" s="14" t="s">
        <v>30</v>
      </c>
      <c r="D11" s="51">
        <v>17</v>
      </c>
      <c r="E11" s="17">
        <f>'Detailed SCI'!E19</f>
        <v>23639621.819999997</v>
      </c>
      <c r="F11" s="17">
        <f>'Detailed SCI'!F19</f>
        <v>21008005.57</v>
      </c>
      <c r="G11" s="17">
        <f>E11-F11</f>
        <v>2631616.2499999963</v>
      </c>
    </row>
    <row r="12" spans="1:7" ht="15" customHeight="1" x14ac:dyDescent="0.25">
      <c r="A12" s="12"/>
      <c r="B12" s="12"/>
      <c r="C12" s="12"/>
      <c r="D12" s="53"/>
      <c r="E12" s="12"/>
      <c r="F12" s="12"/>
      <c r="G12" s="12"/>
    </row>
    <row r="13" spans="1:7" ht="15" customHeight="1" x14ac:dyDescent="0.25">
      <c r="A13" s="263" t="s">
        <v>139</v>
      </c>
      <c r="B13" s="263"/>
      <c r="C13" s="263"/>
    </row>
    <row r="15" spans="1:7" ht="15" customHeight="1" x14ac:dyDescent="0.25">
      <c r="A15" s="55" t="s">
        <v>31</v>
      </c>
      <c r="C15" s="18"/>
      <c r="D15" s="56">
        <v>18</v>
      </c>
      <c r="E15" s="54">
        <f>'Detailed SCI'!E49</f>
        <v>15440150.279999999</v>
      </c>
      <c r="F15" s="54">
        <f>'Detailed SCI'!F49</f>
        <v>14274161.35</v>
      </c>
      <c r="G15" s="54">
        <f>E15-F15</f>
        <v>1165988.9299999997</v>
      </c>
    </row>
    <row r="16" spans="1:7" ht="15" customHeight="1" x14ac:dyDescent="0.25">
      <c r="A16" s="55" t="s">
        <v>32</v>
      </c>
      <c r="D16" s="51">
        <v>19</v>
      </c>
      <c r="E16" s="54">
        <f>'Detailed SCI'!E89</f>
        <v>3084260.17</v>
      </c>
      <c r="F16" s="54">
        <f>'Detailed SCI'!F89</f>
        <v>2807451.79</v>
      </c>
      <c r="G16" s="54">
        <f t="shared" ref="G16:G17" si="0">E16-F16</f>
        <v>276808.37999999989</v>
      </c>
    </row>
    <row r="17" spans="1:7" ht="15" customHeight="1" x14ac:dyDescent="0.25">
      <c r="A17" s="57" t="s">
        <v>33</v>
      </c>
      <c r="B17" s="19"/>
      <c r="C17" s="19"/>
      <c r="D17" s="58">
        <v>20</v>
      </c>
      <c r="E17" s="59">
        <f>'Detailed SCI'!E97</f>
        <v>339129.75</v>
      </c>
      <c r="F17" s="59">
        <f>'Detailed SCI'!F97</f>
        <v>365058.1</v>
      </c>
      <c r="G17" s="54">
        <f t="shared" si="0"/>
        <v>-25928.349999999977</v>
      </c>
    </row>
    <row r="18" spans="1:7" ht="15" customHeight="1" x14ac:dyDescent="0.25">
      <c r="A18" s="63" t="s">
        <v>69</v>
      </c>
      <c r="B18" s="64"/>
      <c r="C18" s="64"/>
      <c r="D18" s="65"/>
      <c r="E18" s="66">
        <f>SUM(E15:E17)</f>
        <v>18863540.199999999</v>
      </c>
      <c r="F18" s="66">
        <f>SUM(F15:F17)</f>
        <v>17446671.240000002</v>
      </c>
      <c r="G18" s="66">
        <f t="shared" ref="G18" si="1">SUM(G15:G17)</f>
        <v>1416868.9599999995</v>
      </c>
    </row>
    <row r="19" spans="1:7" ht="15" customHeight="1" x14ac:dyDescent="0.25">
      <c r="A19" s="61" t="s">
        <v>70</v>
      </c>
      <c r="B19" s="19"/>
      <c r="C19" s="19"/>
      <c r="D19" s="58"/>
      <c r="E19" s="60">
        <f>E11-E18</f>
        <v>4776081.6199999973</v>
      </c>
      <c r="F19" s="60">
        <f>F11-F18</f>
        <v>3561334.3299999982</v>
      </c>
      <c r="G19" s="60">
        <f>E19-F19</f>
        <v>1214747.2899999991</v>
      </c>
    </row>
    <row r="20" spans="1:7" ht="15" customHeight="1" x14ac:dyDescent="0.25">
      <c r="A20" s="57" t="s">
        <v>68</v>
      </c>
      <c r="B20" s="19"/>
      <c r="C20" s="19"/>
      <c r="D20" s="58"/>
      <c r="E20" s="62">
        <f>'Detailed SCI'!E103</f>
        <v>1162039.8600000001</v>
      </c>
      <c r="F20" s="62">
        <f>'Detailed SCI'!F103</f>
        <v>871681.6</v>
      </c>
      <c r="G20" s="62">
        <f>E20-F20</f>
        <v>290358.26000000013</v>
      </c>
    </row>
    <row r="21" spans="1:7" ht="15" customHeight="1" thickBot="1" x14ac:dyDescent="0.3">
      <c r="A21" s="14" t="s">
        <v>71</v>
      </c>
      <c r="E21" s="17">
        <f>E19-E20</f>
        <v>3614041.759999997</v>
      </c>
      <c r="F21" s="17">
        <f>F19-F20</f>
        <v>2689652.7299999981</v>
      </c>
      <c r="G21" s="17">
        <f>E21-F21</f>
        <v>924389.02999999886</v>
      </c>
    </row>
    <row r="22" spans="1:7" ht="15" customHeight="1" thickTop="1" x14ac:dyDescent="0.25">
      <c r="A22" s="11"/>
      <c r="B22" s="11"/>
      <c r="C22" s="11"/>
      <c r="D22" s="52"/>
      <c r="E22" s="11"/>
      <c r="F22" s="226"/>
      <c r="G22" s="225"/>
    </row>
    <row r="23" spans="1:7" s="9" customFormat="1" ht="15" customHeight="1" x14ac:dyDescent="0.3">
      <c r="A23" s="1" t="s">
        <v>60</v>
      </c>
      <c r="B23" s="4"/>
      <c r="C23" s="4"/>
      <c r="D23" s="8"/>
      <c r="E23" s="2"/>
    </row>
    <row r="24" spans="1:7" s="9" customFormat="1" ht="15" customHeight="1" x14ac:dyDescent="0.25">
      <c r="A24" s="4"/>
      <c r="B24" s="4"/>
      <c r="C24" s="4"/>
      <c r="D24" s="8"/>
      <c r="E24" s="10"/>
      <c r="F24" s="2"/>
      <c r="G24" s="21"/>
    </row>
    <row r="25" spans="1:7" s="9" customFormat="1" ht="15" customHeight="1" x14ac:dyDescent="0.25">
      <c r="A25" s="3"/>
      <c r="B25" s="3"/>
      <c r="C25" s="3"/>
      <c r="D25" s="2"/>
      <c r="E25" s="10"/>
      <c r="F25" s="2"/>
      <c r="G25" s="23"/>
    </row>
    <row r="26" spans="1:7" s="9" customFormat="1" ht="15" customHeight="1" x14ac:dyDescent="0.25">
      <c r="A26" s="3"/>
      <c r="B26" s="3"/>
      <c r="C26" s="3"/>
      <c r="D26" s="2"/>
      <c r="E26" s="3"/>
      <c r="F26" s="2"/>
      <c r="G26" s="23"/>
    </row>
    <row r="27" spans="1:7" s="9" customFormat="1" ht="15" customHeight="1" x14ac:dyDescent="0.25">
      <c r="A27" s="3"/>
      <c r="B27" s="3"/>
      <c r="C27" s="3"/>
      <c r="D27" s="2"/>
      <c r="E27" s="3"/>
      <c r="F27" s="8"/>
    </row>
    <row r="28" spans="1:7" s="9" customFormat="1" ht="15" customHeight="1" x14ac:dyDescent="0.3">
      <c r="A28" s="5"/>
      <c r="B28" s="3"/>
      <c r="C28" s="3"/>
      <c r="D28" s="2"/>
      <c r="E28" s="3"/>
      <c r="F28" s="8"/>
    </row>
    <row r="29" spans="1:7" s="9" customFormat="1" ht="15" customHeight="1" x14ac:dyDescent="0.3">
      <c r="A29" s="6"/>
      <c r="B29" s="3"/>
      <c r="C29" s="3"/>
      <c r="D29" s="2"/>
      <c r="E29" s="3"/>
      <c r="F29" s="8"/>
    </row>
  </sheetData>
  <mergeCells count="2">
    <mergeCell ref="A9:C9"/>
    <mergeCell ref="A13:C13"/>
  </mergeCells>
  <printOptions horizontalCentered="1"/>
  <pageMargins left="0.2" right="0.2" top="1" bottom="0.75" header="0.3" footer="0.3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</sheetPr>
  <dimension ref="A1:G113"/>
  <sheetViews>
    <sheetView topLeftCell="A51" zoomScaleNormal="100" workbookViewId="0">
      <selection activeCell="E64" sqref="E64:E66"/>
    </sheetView>
  </sheetViews>
  <sheetFormatPr defaultRowHeight="15" customHeight="1" x14ac:dyDescent="0.25"/>
  <cols>
    <col min="1" max="2" width="3.33203125" style="121" customWidth="1"/>
    <col min="3" max="3" width="54.6640625" style="121" customWidth="1"/>
    <col min="4" max="4" width="12.6640625" style="104" customWidth="1"/>
    <col min="5" max="5" width="17.109375" style="121" customWidth="1"/>
    <col min="6" max="7" width="16.6640625" style="121" customWidth="1"/>
    <col min="8" max="8" width="8.88671875" style="121"/>
    <col min="9" max="9" width="18.21875" style="121" bestFit="1" customWidth="1"/>
    <col min="10" max="16384" width="8.88671875" style="121"/>
  </cols>
  <sheetData>
    <row r="1" spans="1:7" ht="15" customHeight="1" x14ac:dyDescent="0.3">
      <c r="A1" s="102" t="s">
        <v>0</v>
      </c>
      <c r="F1" s="256"/>
    </row>
    <row r="2" spans="1:7" ht="15" customHeight="1" x14ac:dyDescent="0.25">
      <c r="A2" s="105" t="s">
        <v>1</v>
      </c>
    </row>
    <row r="3" spans="1:7" ht="15" customHeight="1" x14ac:dyDescent="0.25">
      <c r="A3" s="102" t="s">
        <v>29</v>
      </c>
    </row>
    <row r="4" spans="1:7" ht="15" customHeight="1" x14ac:dyDescent="0.25">
      <c r="A4" s="102" t="str">
        <f>SCI!A4</f>
        <v>As of March 31, 2024</v>
      </c>
    </row>
    <row r="6" spans="1:7" ht="15" customHeight="1" thickBot="1" x14ac:dyDescent="0.35">
      <c r="D6" s="106" t="s">
        <v>73</v>
      </c>
      <c r="E6" s="107">
        <f>SCI!E7</f>
        <v>2024</v>
      </c>
      <c r="F6" s="107">
        <f>SCI!F7</f>
        <v>2023</v>
      </c>
      <c r="G6" s="107" t="s">
        <v>3</v>
      </c>
    </row>
    <row r="7" spans="1:7" ht="15" customHeight="1" thickTop="1" x14ac:dyDescent="0.25">
      <c r="A7" s="122"/>
      <c r="B7" s="122"/>
      <c r="C7" s="122"/>
      <c r="D7" s="109"/>
      <c r="E7" s="122"/>
      <c r="F7" s="122"/>
      <c r="G7" s="122"/>
    </row>
    <row r="8" spans="1:7" ht="15" customHeight="1" x14ac:dyDescent="0.25">
      <c r="A8" s="102" t="s">
        <v>189</v>
      </c>
    </row>
    <row r="9" spans="1:7" ht="15" customHeight="1" x14ac:dyDescent="0.25">
      <c r="A9" s="102" t="s">
        <v>30</v>
      </c>
      <c r="D9" s="104">
        <v>17</v>
      </c>
    </row>
    <row r="10" spans="1:7" ht="15" customHeight="1" x14ac:dyDescent="0.25">
      <c r="A10" s="102" t="s">
        <v>134</v>
      </c>
      <c r="D10" s="121"/>
    </row>
    <row r="11" spans="1:7" ht="15" customHeight="1" x14ac:dyDescent="0.25">
      <c r="B11" s="110" t="s">
        <v>135</v>
      </c>
      <c r="E11" s="111">
        <v>1650814.69</v>
      </c>
      <c r="F11" s="111">
        <v>1458382.32</v>
      </c>
      <c r="G11" s="111">
        <f>E11-F11</f>
        <v>192432.36999999988</v>
      </c>
    </row>
    <row r="12" spans="1:7" ht="15" customHeight="1" x14ac:dyDescent="0.25">
      <c r="A12" s="102" t="s">
        <v>136</v>
      </c>
    </row>
    <row r="13" spans="1:7" ht="15" customHeight="1" x14ac:dyDescent="0.25">
      <c r="B13" s="110" t="s">
        <v>137</v>
      </c>
      <c r="E13" s="111">
        <v>21895623</v>
      </c>
      <c r="F13" s="111">
        <v>19465368.5</v>
      </c>
      <c r="G13" s="111">
        <f t="shared" ref="G13:G17" si="0">E13-F13</f>
        <v>2430254.5</v>
      </c>
    </row>
    <row r="14" spans="1:7" ht="15" customHeight="1" x14ac:dyDescent="0.25">
      <c r="B14" s="110" t="s">
        <v>138</v>
      </c>
      <c r="E14" s="111">
        <v>72361.740000000005</v>
      </c>
      <c r="F14" s="111">
        <v>74607.97</v>
      </c>
      <c r="G14" s="111">
        <f t="shared" si="0"/>
        <v>-2246.2299999999959</v>
      </c>
    </row>
    <row r="15" spans="1:7" ht="15" customHeight="1" x14ac:dyDescent="0.25">
      <c r="B15" s="110" t="s">
        <v>236</v>
      </c>
      <c r="E15" s="111">
        <v>17833.330000000002</v>
      </c>
      <c r="F15" s="111">
        <v>9646.7800000000007</v>
      </c>
      <c r="G15" s="111">
        <f t="shared" si="0"/>
        <v>8186.5500000000011</v>
      </c>
    </row>
    <row r="16" spans="1:7" ht="15" customHeight="1" x14ac:dyDescent="0.3">
      <c r="A16" s="119" t="s">
        <v>262</v>
      </c>
      <c r="B16" s="110"/>
      <c r="E16" s="111"/>
      <c r="F16" s="111"/>
      <c r="G16" s="111"/>
    </row>
    <row r="17" spans="1:7" ht="15" customHeight="1" x14ac:dyDescent="0.25">
      <c r="B17" s="110" t="s">
        <v>262</v>
      </c>
      <c r="E17" s="111">
        <v>2989.06</v>
      </c>
      <c r="F17" s="111">
        <v>0</v>
      </c>
      <c r="G17" s="111">
        <f t="shared" si="0"/>
        <v>2989.06</v>
      </c>
    </row>
    <row r="18" spans="1:7" ht="15" customHeight="1" x14ac:dyDescent="0.25">
      <c r="A18" s="123"/>
      <c r="B18" s="123"/>
      <c r="C18" s="123"/>
      <c r="D18" s="124"/>
      <c r="E18" s="123"/>
      <c r="F18" s="123"/>
      <c r="G18" s="123"/>
    </row>
    <row r="19" spans="1:7" ht="15" customHeight="1" x14ac:dyDescent="0.25">
      <c r="A19" s="102" t="s">
        <v>190</v>
      </c>
      <c r="E19" s="125">
        <f>SUM(E11:E17)</f>
        <v>23639621.819999997</v>
      </c>
      <c r="F19" s="125">
        <f t="shared" ref="F19:G19" si="1">SUM(F11:F17)</f>
        <v>21008005.57</v>
      </c>
      <c r="G19" s="125">
        <f t="shared" si="1"/>
        <v>2631616.25</v>
      </c>
    </row>
    <row r="20" spans="1:7" ht="15" customHeight="1" x14ac:dyDescent="0.25">
      <c r="A20" s="123"/>
      <c r="B20" s="123"/>
      <c r="C20" s="123"/>
      <c r="D20" s="124"/>
      <c r="E20" s="241"/>
      <c r="F20" s="123"/>
      <c r="G20" s="126"/>
    </row>
    <row r="21" spans="1:7" ht="15" customHeight="1" x14ac:dyDescent="0.25">
      <c r="A21" s="102" t="s">
        <v>139</v>
      </c>
      <c r="E21" s="153"/>
    </row>
    <row r="22" spans="1:7" ht="15" customHeight="1" x14ac:dyDescent="0.25">
      <c r="A22" s="102" t="s">
        <v>31</v>
      </c>
      <c r="D22" s="104">
        <v>18</v>
      </c>
    </row>
    <row r="23" spans="1:7" ht="15" customHeight="1" x14ac:dyDescent="0.25">
      <c r="B23" s="102" t="s">
        <v>140</v>
      </c>
    </row>
    <row r="24" spans="1:7" ht="15" customHeight="1" x14ac:dyDescent="0.25">
      <c r="C24" s="110" t="s">
        <v>141</v>
      </c>
      <c r="E24" s="111">
        <v>9208418.3599999994</v>
      </c>
      <c r="F24" s="111">
        <v>9056612.2400000002</v>
      </c>
      <c r="G24" s="111">
        <f t="shared" ref="G24" si="2">E24-F24</f>
        <v>151806.11999999918</v>
      </c>
    </row>
    <row r="25" spans="1:7" ht="15" customHeight="1" x14ac:dyDescent="0.3">
      <c r="B25" s="119" t="s">
        <v>191</v>
      </c>
      <c r="E25" s="151">
        <f>E24</f>
        <v>9208418.3599999994</v>
      </c>
      <c r="F25" s="151">
        <f>F24</f>
        <v>9056612.2400000002</v>
      </c>
      <c r="G25" s="151">
        <f>E25-F25</f>
        <v>151806.11999999918</v>
      </c>
    </row>
    <row r="26" spans="1:7" ht="15" customHeight="1" x14ac:dyDescent="0.25">
      <c r="B26" s="102" t="s">
        <v>142</v>
      </c>
    </row>
    <row r="27" spans="1:7" ht="15" customHeight="1" x14ac:dyDescent="0.25">
      <c r="C27" s="110" t="s">
        <v>143</v>
      </c>
      <c r="E27" s="111">
        <v>352843.13</v>
      </c>
      <c r="F27" s="260">
        <v>340616.88</v>
      </c>
      <c r="G27" s="111">
        <f t="shared" ref="G27:G31" si="3">E27-F27</f>
        <v>12226.25</v>
      </c>
    </row>
    <row r="28" spans="1:7" ht="15" customHeight="1" x14ac:dyDescent="0.25">
      <c r="C28" s="110" t="s">
        <v>144</v>
      </c>
      <c r="D28" s="244"/>
      <c r="E28" s="111">
        <v>180000</v>
      </c>
      <c r="F28" s="111">
        <v>202500</v>
      </c>
      <c r="G28" s="111">
        <f t="shared" si="3"/>
        <v>-22500</v>
      </c>
    </row>
    <row r="29" spans="1:7" ht="15" customHeight="1" x14ac:dyDescent="0.25">
      <c r="C29" s="110" t="s">
        <v>145</v>
      </c>
      <c r="E29" s="111">
        <v>180000</v>
      </c>
      <c r="F29" s="111">
        <v>202500</v>
      </c>
      <c r="G29" s="111">
        <f t="shared" si="3"/>
        <v>-22500</v>
      </c>
    </row>
    <row r="30" spans="1:7" ht="15" customHeight="1" x14ac:dyDescent="0.25">
      <c r="C30" s="110" t="s">
        <v>248</v>
      </c>
      <c r="E30" s="111">
        <v>406000</v>
      </c>
      <c r="F30" s="111">
        <v>330000</v>
      </c>
      <c r="G30" s="111">
        <f t="shared" si="3"/>
        <v>76000</v>
      </c>
    </row>
    <row r="31" spans="1:7" ht="15" customHeight="1" x14ac:dyDescent="0.25">
      <c r="C31" s="110" t="s">
        <v>146</v>
      </c>
      <c r="E31" s="111">
        <v>312988.45</v>
      </c>
      <c r="F31" s="111">
        <v>289204.03999999998</v>
      </c>
      <c r="G31" s="111">
        <f t="shared" si="3"/>
        <v>23784.410000000033</v>
      </c>
    </row>
    <row r="32" spans="1:7" ht="15" customHeight="1" x14ac:dyDescent="0.25">
      <c r="C32" s="110" t="s">
        <v>250</v>
      </c>
      <c r="E32" s="111">
        <v>771100.35</v>
      </c>
      <c r="F32" s="111">
        <v>767883.33</v>
      </c>
      <c r="G32" s="111">
        <f>E32-F32</f>
        <v>3217.0200000000186</v>
      </c>
    </row>
    <row r="33" spans="1:7" ht="15" customHeight="1" x14ac:dyDescent="0.25">
      <c r="C33" s="110" t="s">
        <v>241</v>
      </c>
      <c r="E33" s="111">
        <v>73750</v>
      </c>
      <c r="F33" s="111">
        <v>73333.33</v>
      </c>
      <c r="G33" s="111">
        <f t="shared" ref="G33" si="4">E33-F33</f>
        <v>416.66999999999825</v>
      </c>
    </row>
    <row r="34" spans="1:7" ht="15" customHeight="1" x14ac:dyDescent="0.25">
      <c r="C34" s="110" t="s">
        <v>249</v>
      </c>
      <c r="E34" s="111">
        <v>1850640.6</v>
      </c>
      <c r="F34" s="111">
        <v>1529663.5</v>
      </c>
      <c r="G34" s="111">
        <f t="shared" ref="G34:G35" si="5">E34-F34</f>
        <v>320977.10000000009</v>
      </c>
    </row>
    <row r="35" spans="1:7" ht="15" customHeight="1" x14ac:dyDescent="0.25">
      <c r="C35" s="110" t="s">
        <v>258</v>
      </c>
      <c r="E35" s="111">
        <v>0</v>
      </c>
      <c r="F35" s="111">
        <v>168000</v>
      </c>
      <c r="G35" s="111">
        <f t="shared" si="5"/>
        <v>-168000</v>
      </c>
    </row>
    <row r="36" spans="1:7" ht="15" customHeight="1" x14ac:dyDescent="0.25">
      <c r="C36" s="110" t="s">
        <v>147</v>
      </c>
      <c r="E36" s="111">
        <v>576000</v>
      </c>
      <c r="F36" s="111">
        <v>546000</v>
      </c>
      <c r="G36" s="111">
        <f>E36-F36</f>
        <v>30000</v>
      </c>
    </row>
    <row r="37" spans="1:7" ht="15" customHeight="1" x14ac:dyDescent="0.3">
      <c r="B37" s="119" t="s">
        <v>192</v>
      </c>
      <c r="C37" s="110"/>
      <c r="E37" s="151">
        <f>SUM(E27:E36)</f>
        <v>4703322.5299999993</v>
      </c>
      <c r="F37" s="151">
        <f>SUM(F27:F36)</f>
        <v>4449701.08</v>
      </c>
      <c r="G37" s="151">
        <f>SUM(G27:G36)</f>
        <v>253621.45000000013</v>
      </c>
    </row>
    <row r="38" spans="1:7" ht="15" customHeight="1" x14ac:dyDescent="0.25">
      <c r="B38" s="102" t="s">
        <v>148</v>
      </c>
      <c r="G38" s="111"/>
    </row>
    <row r="39" spans="1:7" ht="15" customHeight="1" x14ac:dyDescent="0.25">
      <c r="C39" s="110" t="s">
        <v>149</v>
      </c>
      <c r="E39" s="111">
        <v>18000</v>
      </c>
      <c r="F39" s="111">
        <v>10900</v>
      </c>
      <c r="G39" s="111">
        <f t="shared" ref="G39:G43" si="6">E39-F39</f>
        <v>7100</v>
      </c>
    </row>
    <row r="40" spans="1:7" ht="15" customHeight="1" x14ac:dyDescent="0.25">
      <c r="C40" s="110" t="s">
        <v>150</v>
      </c>
      <c r="E40" s="111">
        <v>144350.29999999999</v>
      </c>
      <c r="F40" s="111">
        <v>101756.18</v>
      </c>
      <c r="G40" s="111">
        <f t="shared" si="6"/>
        <v>42594.119999999995</v>
      </c>
    </row>
    <row r="41" spans="1:7" ht="15" customHeight="1" x14ac:dyDescent="0.25">
      <c r="C41" s="110" t="s">
        <v>151</v>
      </c>
      <c r="E41" s="111">
        <v>3600</v>
      </c>
      <c r="F41" s="111">
        <v>3270</v>
      </c>
      <c r="G41" s="111">
        <f t="shared" si="6"/>
        <v>330</v>
      </c>
    </row>
    <row r="42" spans="1:7" ht="15" customHeight="1" x14ac:dyDescent="0.25">
      <c r="C42" s="110" t="s">
        <v>152</v>
      </c>
      <c r="E42" s="111">
        <v>331740</v>
      </c>
      <c r="F42" s="111">
        <v>303620</v>
      </c>
      <c r="G42" s="111">
        <f t="shared" si="6"/>
        <v>28120</v>
      </c>
    </row>
    <row r="43" spans="1:7" ht="15" customHeight="1" x14ac:dyDescent="0.25">
      <c r="C43" s="110" t="s">
        <v>257</v>
      </c>
      <c r="E43" s="111">
        <v>904718.27</v>
      </c>
      <c r="F43" s="111">
        <v>0</v>
      </c>
      <c r="G43" s="111">
        <f t="shared" si="6"/>
        <v>904718.27</v>
      </c>
    </row>
    <row r="44" spans="1:7" ht="15" customHeight="1" x14ac:dyDescent="0.3">
      <c r="B44" s="102" t="s">
        <v>193</v>
      </c>
      <c r="E44" s="152">
        <f>SUM(E39:E43)</f>
        <v>1402408.57</v>
      </c>
      <c r="F44" s="152">
        <f>SUM(F39:F43)</f>
        <v>419546.18</v>
      </c>
      <c r="G44" s="152">
        <f>SUM(G39:G43)</f>
        <v>982862.39</v>
      </c>
    </row>
    <row r="45" spans="1:7" ht="15" customHeight="1" x14ac:dyDescent="0.25">
      <c r="B45" s="102" t="s">
        <v>194</v>
      </c>
      <c r="C45" s="110"/>
      <c r="E45" s="111"/>
      <c r="F45" s="111"/>
      <c r="G45" s="111"/>
    </row>
    <row r="46" spans="1:7" ht="15" customHeight="1" x14ac:dyDescent="0.25">
      <c r="C46" s="110" t="s">
        <v>153</v>
      </c>
      <c r="E46" s="111">
        <v>126000.82</v>
      </c>
      <c r="F46" s="111">
        <v>348301.85</v>
      </c>
      <c r="G46" s="111">
        <f t="shared" ref="G46" si="7">E46-F46</f>
        <v>-222301.02999999997</v>
      </c>
    </row>
    <row r="47" spans="1:7" ht="15" customHeight="1" x14ac:dyDescent="0.25">
      <c r="B47" s="102" t="s">
        <v>199</v>
      </c>
      <c r="C47" s="110"/>
      <c r="E47" s="151">
        <f>E46</f>
        <v>126000.82</v>
      </c>
      <c r="F47" s="151">
        <f t="shared" ref="F47:G47" si="8">F46</f>
        <v>348301.85</v>
      </c>
      <c r="G47" s="151">
        <f t="shared" si="8"/>
        <v>-222301.02999999997</v>
      </c>
    </row>
    <row r="48" spans="1:7" ht="15" customHeight="1" x14ac:dyDescent="0.25">
      <c r="A48" s="123"/>
      <c r="B48" s="123"/>
      <c r="C48" s="123"/>
      <c r="D48" s="124"/>
      <c r="E48" s="123"/>
      <c r="F48" s="123"/>
      <c r="G48" s="123"/>
    </row>
    <row r="49" spans="1:7" ht="15" customHeight="1" x14ac:dyDescent="0.25">
      <c r="B49" s="127" t="s">
        <v>195</v>
      </c>
      <c r="C49" s="127"/>
      <c r="D49" s="128"/>
      <c r="E49" s="125">
        <f>E25+E37+E44+E47</f>
        <v>15440150.279999999</v>
      </c>
      <c r="F49" s="125">
        <f>F25+F37+F44+F47</f>
        <v>14274161.35</v>
      </c>
      <c r="G49" s="125">
        <f>G25+G37+G44+G47</f>
        <v>1165988.9299999992</v>
      </c>
    </row>
    <row r="50" spans="1:7" ht="15" customHeight="1" x14ac:dyDescent="0.25">
      <c r="A50" s="123"/>
      <c r="B50" s="123"/>
      <c r="C50" s="123"/>
      <c r="D50" s="124"/>
      <c r="E50" s="242"/>
      <c r="F50" s="241"/>
      <c r="G50" s="123"/>
    </row>
    <row r="51" spans="1:7" ht="15" customHeight="1" x14ac:dyDescent="0.25">
      <c r="A51" s="102" t="s">
        <v>32</v>
      </c>
      <c r="D51" s="104">
        <v>19</v>
      </c>
    </row>
    <row r="52" spans="1:7" ht="15" customHeight="1" x14ac:dyDescent="0.25">
      <c r="B52" s="102" t="s">
        <v>154</v>
      </c>
    </row>
    <row r="53" spans="1:7" ht="15" customHeight="1" x14ac:dyDescent="0.25">
      <c r="C53" s="110" t="s">
        <v>155</v>
      </c>
      <c r="E53" s="111">
        <f>398099.9+163659.49</f>
        <v>561759.39</v>
      </c>
      <c r="F53" s="261">
        <v>692577.56</v>
      </c>
      <c r="G53" s="111">
        <f t="shared" ref="G53:G87" si="9">E53-F53</f>
        <v>-130818.17000000004</v>
      </c>
    </row>
    <row r="54" spans="1:7" ht="15" customHeight="1" x14ac:dyDescent="0.25">
      <c r="B54" s="102" t="s">
        <v>156</v>
      </c>
      <c r="E54" s="153"/>
      <c r="F54" s="153"/>
      <c r="G54" s="111"/>
    </row>
    <row r="55" spans="1:7" ht="15" customHeight="1" x14ac:dyDescent="0.25">
      <c r="C55" s="110" t="s">
        <v>157</v>
      </c>
      <c r="E55" s="111">
        <v>71233.399999999994</v>
      </c>
      <c r="F55" s="111">
        <v>70290.759999999995</v>
      </c>
      <c r="G55" s="111">
        <f t="shared" si="9"/>
        <v>942.63999999999942</v>
      </c>
    </row>
    <row r="56" spans="1:7" ht="15" customHeight="1" x14ac:dyDescent="0.25">
      <c r="B56" s="102" t="s">
        <v>158</v>
      </c>
      <c r="G56" s="111"/>
    </row>
    <row r="57" spans="1:7" ht="15" customHeight="1" x14ac:dyDescent="0.25">
      <c r="C57" s="110" t="s">
        <v>196</v>
      </c>
      <c r="E57" s="111">
        <v>354588.88</v>
      </c>
      <c r="F57" s="111">
        <v>296984.26</v>
      </c>
      <c r="G57" s="111">
        <f t="shared" si="9"/>
        <v>57604.619999999995</v>
      </c>
    </row>
    <row r="58" spans="1:7" ht="15" customHeight="1" x14ac:dyDescent="0.25">
      <c r="C58" s="110" t="s">
        <v>251</v>
      </c>
      <c r="E58" s="111">
        <v>39208.5</v>
      </c>
      <c r="F58" s="111">
        <v>63437.06</v>
      </c>
      <c r="G58" s="111">
        <f t="shared" si="9"/>
        <v>-24228.559999999998</v>
      </c>
    </row>
    <row r="59" spans="1:7" ht="15" customHeight="1" x14ac:dyDescent="0.25">
      <c r="C59" s="110" t="s">
        <v>271</v>
      </c>
      <c r="E59" s="111">
        <f>350332-1116</f>
        <v>349216</v>
      </c>
      <c r="F59" s="111">
        <v>71773.5</v>
      </c>
      <c r="G59" s="111">
        <f t="shared" si="9"/>
        <v>277442.5</v>
      </c>
    </row>
    <row r="60" spans="1:7" ht="15" customHeight="1" x14ac:dyDescent="0.25">
      <c r="C60" s="110" t="s">
        <v>265</v>
      </c>
      <c r="E60" s="111">
        <v>88360</v>
      </c>
      <c r="F60" s="111">
        <v>0</v>
      </c>
      <c r="G60" s="111">
        <f t="shared" si="9"/>
        <v>88360</v>
      </c>
    </row>
    <row r="61" spans="1:7" ht="15" customHeight="1" x14ac:dyDescent="0.25">
      <c r="B61" s="102" t="s">
        <v>159</v>
      </c>
      <c r="E61" s="129"/>
      <c r="F61" s="129"/>
      <c r="G61" s="111"/>
    </row>
    <row r="62" spans="1:7" ht="15" customHeight="1" x14ac:dyDescent="0.25">
      <c r="C62" s="110" t="s">
        <v>160</v>
      </c>
      <c r="E62" s="111">
        <v>100663.26</v>
      </c>
      <c r="F62" s="111">
        <v>113645.48</v>
      </c>
      <c r="G62" s="111">
        <f t="shared" si="9"/>
        <v>-12982.220000000001</v>
      </c>
    </row>
    <row r="63" spans="1:7" ht="15" customHeight="1" x14ac:dyDescent="0.25">
      <c r="B63" s="102" t="s">
        <v>161</v>
      </c>
      <c r="E63" s="111"/>
      <c r="F63" s="111"/>
      <c r="G63" s="111"/>
    </row>
    <row r="64" spans="1:7" ht="15" customHeight="1" x14ac:dyDescent="0.25">
      <c r="C64" s="110" t="s">
        <v>204</v>
      </c>
      <c r="E64" s="21">
        <v>10677.6</v>
      </c>
      <c r="F64" s="21">
        <v>8152.2</v>
      </c>
      <c r="G64" s="111">
        <f t="shared" si="9"/>
        <v>2525.4000000000005</v>
      </c>
    </row>
    <row r="65" spans="2:7" ht="15" customHeight="1" x14ac:dyDescent="0.25">
      <c r="C65" s="110" t="s">
        <v>205</v>
      </c>
      <c r="E65" s="21">
        <f>62237.06+40747.86+48568.99+850</f>
        <v>152403.91</v>
      </c>
      <c r="F65" s="155">
        <v>136388.47</v>
      </c>
      <c r="G65" s="111">
        <f t="shared" si="9"/>
        <v>16015.440000000002</v>
      </c>
    </row>
    <row r="66" spans="2:7" ht="15" customHeight="1" x14ac:dyDescent="0.25">
      <c r="C66" s="110" t="s">
        <v>206</v>
      </c>
      <c r="E66" s="155">
        <v>20256.38</v>
      </c>
      <c r="F66" s="155">
        <v>12326.85</v>
      </c>
      <c r="G66" s="111">
        <f t="shared" si="9"/>
        <v>7929.5300000000007</v>
      </c>
    </row>
    <row r="67" spans="2:7" ht="15" customHeight="1" x14ac:dyDescent="0.25">
      <c r="B67" s="102" t="s">
        <v>197</v>
      </c>
      <c r="C67" s="110"/>
      <c r="E67" s="111"/>
      <c r="F67" s="111"/>
      <c r="G67" s="111"/>
    </row>
    <row r="68" spans="2:7" ht="15" customHeight="1" x14ac:dyDescent="0.25">
      <c r="C68" s="110" t="s">
        <v>162</v>
      </c>
      <c r="E68" s="111">
        <v>89764.54</v>
      </c>
      <c r="F68" s="111">
        <v>108308.01</v>
      </c>
      <c r="G68" s="111">
        <f t="shared" si="9"/>
        <v>-18543.47</v>
      </c>
    </row>
    <row r="69" spans="2:7" ht="15" customHeight="1" x14ac:dyDescent="0.25">
      <c r="B69" s="102" t="s">
        <v>163</v>
      </c>
      <c r="G69" s="111"/>
    </row>
    <row r="70" spans="2:7" ht="15" customHeight="1" x14ac:dyDescent="0.25">
      <c r="C70" s="110" t="s">
        <v>164</v>
      </c>
      <c r="E70" s="111">
        <v>32571.52</v>
      </c>
      <c r="F70" s="111">
        <v>111817.99</v>
      </c>
      <c r="G70" s="111">
        <f t="shared" si="9"/>
        <v>-79246.47</v>
      </c>
    </row>
    <row r="71" spans="2:7" ht="15" customHeight="1" x14ac:dyDescent="0.25">
      <c r="C71" s="110" t="s">
        <v>259</v>
      </c>
      <c r="E71" s="111">
        <v>106757.75999999999</v>
      </c>
      <c r="F71" s="111">
        <v>0</v>
      </c>
      <c r="G71" s="111">
        <f t="shared" si="9"/>
        <v>106757.75999999999</v>
      </c>
    </row>
    <row r="72" spans="2:7" ht="15" customHeight="1" x14ac:dyDescent="0.25">
      <c r="B72" s="102" t="s">
        <v>165</v>
      </c>
      <c r="G72" s="111"/>
    </row>
    <row r="73" spans="2:7" ht="15" customHeight="1" x14ac:dyDescent="0.25">
      <c r="C73" s="110" t="s">
        <v>166</v>
      </c>
      <c r="E73" s="111">
        <v>0</v>
      </c>
      <c r="F73" s="111">
        <v>6110.04</v>
      </c>
      <c r="G73" s="111">
        <f t="shared" si="9"/>
        <v>-6110.04</v>
      </c>
    </row>
    <row r="74" spans="2:7" ht="15" customHeight="1" x14ac:dyDescent="0.25">
      <c r="C74" s="110" t="s">
        <v>167</v>
      </c>
      <c r="E74" s="111">
        <v>121440.56</v>
      </c>
      <c r="F74" s="111">
        <v>110537.91</v>
      </c>
      <c r="G74" s="111">
        <f t="shared" si="9"/>
        <v>10902.649999999994</v>
      </c>
    </row>
    <row r="75" spans="2:7" ht="15" customHeight="1" x14ac:dyDescent="0.25">
      <c r="B75" s="102" t="s">
        <v>168</v>
      </c>
      <c r="G75" s="111"/>
    </row>
    <row r="76" spans="2:7" ht="15" customHeight="1" x14ac:dyDescent="0.25">
      <c r="B76" s="102"/>
      <c r="C76" s="110" t="s">
        <v>267</v>
      </c>
      <c r="E76" s="111">
        <v>664</v>
      </c>
      <c r="F76" s="111">
        <v>10435</v>
      </c>
      <c r="G76" s="111">
        <f t="shared" si="9"/>
        <v>-9771</v>
      </c>
    </row>
    <row r="77" spans="2:7" ht="15" customHeight="1" x14ac:dyDescent="0.25">
      <c r="C77" s="110" t="s">
        <v>266</v>
      </c>
      <c r="E77" s="111">
        <f>110+2600</f>
        <v>2710</v>
      </c>
      <c r="F77" s="111">
        <v>0</v>
      </c>
      <c r="G77" s="111">
        <f t="shared" si="9"/>
        <v>2710</v>
      </c>
    </row>
    <row r="78" spans="2:7" ht="15" customHeight="1" x14ac:dyDescent="0.25">
      <c r="C78" s="110" t="s">
        <v>169</v>
      </c>
      <c r="E78" s="111">
        <v>36780</v>
      </c>
      <c r="F78" s="111">
        <v>40950</v>
      </c>
      <c r="G78" s="111">
        <f t="shared" si="9"/>
        <v>-4170</v>
      </c>
    </row>
    <row r="79" spans="2:7" ht="15" customHeight="1" x14ac:dyDescent="0.25">
      <c r="C79" s="110" t="s">
        <v>198</v>
      </c>
      <c r="E79" s="111">
        <v>5570</v>
      </c>
      <c r="F79" s="111">
        <v>18090</v>
      </c>
      <c r="G79" s="111">
        <f t="shared" si="9"/>
        <v>-12520</v>
      </c>
    </row>
    <row r="80" spans="2:7" ht="15" customHeight="1" x14ac:dyDescent="0.25">
      <c r="B80" s="102" t="s">
        <v>170</v>
      </c>
      <c r="E80" s="129"/>
      <c r="F80" s="129"/>
      <c r="G80" s="111"/>
    </row>
    <row r="81" spans="1:7" ht="15" customHeight="1" x14ac:dyDescent="0.25">
      <c r="C81" s="110" t="s">
        <v>171</v>
      </c>
      <c r="E81" s="111">
        <v>21200</v>
      </c>
      <c r="F81" s="111">
        <v>23440</v>
      </c>
      <c r="G81" s="111">
        <f t="shared" si="9"/>
        <v>-2240</v>
      </c>
    </row>
    <row r="82" spans="1:7" ht="15" customHeight="1" x14ac:dyDescent="0.25">
      <c r="C82" s="110" t="s">
        <v>172</v>
      </c>
      <c r="E82" s="111">
        <f>71625+71985.72</f>
        <v>143610.72</v>
      </c>
      <c r="F82" s="111">
        <v>110443.4</v>
      </c>
      <c r="G82" s="111">
        <f t="shared" si="9"/>
        <v>33167.320000000007</v>
      </c>
    </row>
    <row r="83" spans="1:7" ht="15" customHeight="1" x14ac:dyDescent="0.25">
      <c r="B83" s="102" t="s">
        <v>173</v>
      </c>
      <c r="G83" s="111"/>
    </row>
    <row r="84" spans="1:7" ht="15" customHeight="1" x14ac:dyDescent="0.25">
      <c r="C84" s="110" t="s">
        <v>174</v>
      </c>
      <c r="E84" s="111">
        <v>82613.06</v>
      </c>
      <c r="F84" s="111">
        <v>212458.12</v>
      </c>
      <c r="G84" s="111">
        <f t="shared" si="9"/>
        <v>-129845.06</v>
      </c>
    </row>
    <row r="85" spans="1:7" ht="15" customHeight="1" x14ac:dyDescent="0.25">
      <c r="C85" s="110" t="s">
        <v>175</v>
      </c>
      <c r="E85" s="111">
        <f>33138.75+154642.14</f>
        <v>187780.89</v>
      </c>
      <c r="F85" s="111">
        <v>235256.58</v>
      </c>
      <c r="G85" s="111">
        <f t="shared" si="9"/>
        <v>-47475.689999999973</v>
      </c>
    </row>
    <row r="86" spans="1:7" ht="15" customHeight="1" x14ac:dyDescent="0.25">
      <c r="C86" s="110" t="s">
        <v>176</v>
      </c>
      <c r="E86" s="111">
        <v>3680</v>
      </c>
      <c r="F86" s="111">
        <v>5405</v>
      </c>
      <c r="G86" s="111">
        <f t="shared" si="9"/>
        <v>-1725</v>
      </c>
    </row>
    <row r="87" spans="1:7" ht="15" customHeight="1" x14ac:dyDescent="0.25">
      <c r="C87" s="110" t="s">
        <v>173</v>
      </c>
      <c r="E87" s="111">
        <f>196867.18+303882.62</f>
        <v>500749.8</v>
      </c>
      <c r="F87" s="111">
        <v>348623.6</v>
      </c>
      <c r="G87" s="111">
        <f t="shared" si="9"/>
        <v>152126.20000000001</v>
      </c>
    </row>
    <row r="88" spans="1:7" ht="15" customHeight="1" x14ac:dyDescent="0.25">
      <c r="A88" s="123"/>
      <c r="B88" s="123"/>
      <c r="C88" s="123"/>
      <c r="D88" s="124"/>
      <c r="E88" s="123"/>
      <c r="F88" s="123"/>
      <c r="G88" s="123"/>
    </row>
    <row r="89" spans="1:7" ht="15" customHeight="1" x14ac:dyDescent="0.25">
      <c r="A89" s="102" t="s">
        <v>177</v>
      </c>
      <c r="E89" s="125">
        <f>SUM(E53:E87)</f>
        <v>3084260.17</v>
      </c>
      <c r="F89" s="125">
        <f>SUM(F53:F87)</f>
        <v>2807451.79</v>
      </c>
      <c r="G89" s="125">
        <f>SUM(G53:G87)</f>
        <v>276808.38</v>
      </c>
    </row>
    <row r="90" spans="1:7" ht="15" customHeight="1" x14ac:dyDescent="0.25">
      <c r="A90" s="123"/>
      <c r="B90" s="123"/>
      <c r="C90" s="123"/>
      <c r="D90" s="124"/>
      <c r="E90" s="241"/>
      <c r="F90" s="123"/>
      <c r="G90" s="123"/>
    </row>
    <row r="91" spans="1:7" ht="15" customHeight="1" x14ac:dyDescent="0.25">
      <c r="A91" s="102" t="s">
        <v>33</v>
      </c>
      <c r="D91" s="121"/>
      <c r="E91" s="153"/>
    </row>
    <row r="92" spans="1:7" ht="15" customHeight="1" x14ac:dyDescent="0.25">
      <c r="B92" s="154" t="s">
        <v>178</v>
      </c>
      <c r="D92" s="104">
        <v>20</v>
      </c>
      <c r="E92" s="111"/>
      <c r="F92" s="111"/>
      <c r="G92" s="111"/>
    </row>
    <row r="93" spans="1:7" ht="15" customHeight="1" x14ac:dyDescent="0.25">
      <c r="B93" s="110"/>
      <c r="C93" s="121" t="s">
        <v>200</v>
      </c>
      <c r="E93" s="111">
        <v>117330.03</v>
      </c>
      <c r="F93" s="111">
        <v>117330.03</v>
      </c>
      <c r="G93" s="111">
        <f>E93-F93</f>
        <v>0</v>
      </c>
    </row>
    <row r="94" spans="1:7" ht="15" customHeight="1" x14ac:dyDescent="0.25">
      <c r="B94" s="110"/>
      <c r="C94" s="121" t="s">
        <v>201</v>
      </c>
      <c r="E94" s="111">
        <f>31200.27+68237.34</f>
        <v>99437.61</v>
      </c>
      <c r="F94" s="111">
        <v>106648</v>
      </c>
      <c r="G94" s="111">
        <f t="shared" ref="G94:G96" si="10">E94-F94</f>
        <v>-7210.3899999999994</v>
      </c>
    </row>
    <row r="95" spans="1:7" ht="15" customHeight="1" x14ac:dyDescent="0.25">
      <c r="B95" s="110"/>
      <c r="C95" s="121" t="s">
        <v>202</v>
      </c>
      <c r="E95" s="111">
        <v>119839.26</v>
      </c>
      <c r="F95" s="111">
        <v>138557.22</v>
      </c>
      <c r="G95" s="111">
        <f t="shared" si="10"/>
        <v>-18717.960000000006</v>
      </c>
    </row>
    <row r="96" spans="1:7" ht="15" customHeight="1" x14ac:dyDescent="0.25">
      <c r="A96" s="131"/>
      <c r="B96" s="227"/>
      <c r="C96" s="131" t="s">
        <v>203</v>
      </c>
      <c r="D96" s="132"/>
      <c r="E96" s="133">
        <v>2522.85</v>
      </c>
      <c r="F96" s="133">
        <v>2522.85</v>
      </c>
      <c r="G96" s="133">
        <f t="shared" si="10"/>
        <v>0</v>
      </c>
    </row>
    <row r="97" spans="1:7" ht="15" customHeight="1" x14ac:dyDescent="0.3">
      <c r="A97" s="102" t="s">
        <v>237</v>
      </c>
      <c r="B97" s="154"/>
      <c r="C97" s="150"/>
      <c r="D97" s="106"/>
      <c r="E97" s="151">
        <f>SUM(E93:E96)</f>
        <v>339129.75</v>
      </c>
      <c r="F97" s="151">
        <f t="shared" ref="F97:G97" si="11">SUM(F93:F96)</f>
        <v>365058.1</v>
      </c>
      <c r="G97" s="151">
        <f t="shared" si="11"/>
        <v>-25928.350000000006</v>
      </c>
    </row>
    <row r="98" spans="1:7" ht="15" customHeight="1" x14ac:dyDescent="0.25">
      <c r="A98" s="123"/>
      <c r="B98" s="123"/>
      <c r="C98" s="123"/>
      <c r="D98" s="124"/>
      <c r="E98" s="123"/>
      <c r="F98" s="123"/>
      <c r="G98" s="123"/>
    </row>
    <row r="99" spans="1:7" ht="15" customHeight="1" x14ac:dyDescent="0.25">
      <c r="A99" s="102" t="s">
        <v>69</v>
      </c>
      <c r="E99" s="125">
        <f>E97+E89+E49</f>
        <v>18863540.199999999</v>
      </c>
      <c r="F99" s="125">
        <f>F97+F89+F49</f>
        <v>17446671.239999998</v>
      </c>
      <c r="G99" s="125">
        <f>G97+G89+G49</f>
        <v>1416868.9599999993</v>
      </c>
    </row>
    <row r="100" spans="1:7" ht="15" customHeight="1" x14ac:dyDescent="0.25">
      <c r="A100" s="123"/>
      <c r="B100" s="123"/>
      <c r="C100" s="123"/>
      <c r="D100" s="124"/>
      <c r="E100" s="123"/>
      <c r="F100" s="123"/>
      <c r="G100" s="123"/>
    </row>
    <row r="101" spans="1:7" ht="15" customHeight="1" x14ac:dyDescent="0.25">
      <c r="A101" s="102" t="s">
        <v>179</v>
      </c>
      <c r="E101" s="125">
        <f>E19-E99</f>
        <v>4776081.6199999973</v>
      </c>
      <c r="F101" s="125">
        <f>F19-F99</f>
        <v>3561334.3300000019</v>
      </c>
      <c r="G101" s="125">
        <f>G19-G99</f>
        <v>1214747.2900000007</v>
      </c>
    </row>
    <row r="102" spans="1:7" ht="15" customHeight="1" x14ac:dyDescent="0.25">
      <c r="A102" s="102"/>
      <c r="E102" s="125"/>
      <c r="F102" s="125"/>
      <c r="G102" s="125"/>
    </row>
    <row r="103" spans="1:7" ht="15" customHeight="1" x14ac:dyDescent="0.25">
      <c r="A103" s="130" t="s">
        <v>68</v>
      </c>
      <c r="B103" s="131"/>
      <c r="C103" s="131"/>
      <c r="D103" s="132"/>
      <c r="E103" s="133">
        <v>1162039.8600000001</v>
      </c>
      <c r="F103" s="133">
        <v>871681.6</v>
      </c>
      <c r="G103" s="133">
        <f>E103-F103</f>
        <v>290358.26000000013</v>
      </c>
    </row>
    <row r="104" spans="1:7" ht="15" customHeight="1" x14ac:dyDescent="0.25">
      <c r="A104" s="102"/>
      <c r="E104" s="125"/>
      <c r="F104" s="125"/>
      <c r="G104" s="125"/>
    </row>
    <row r="105" spans="1:7" ht="15" customHeight="1" thickBot="1" x14ac:dyDescent="0.3">
      <c r="A105" s="102" t="s">
        <v>180</v>
      </c>
      <c r="E105" s="125">
        <f>E101-E103</f>
        <v>3614041.759999997</v>
      </c>
      <c r="F105" s="125">
        <f t="shared" ref="F105:G105" si="12">F101-F103</f>
        <v>2689652.7300000018</v>
      </c>
      <c r="G105" s="125">
        <f t="shared" si="12"/>
        <v>924389.03000000061</v>
      </c>
    </row>
    <row r="106" spans="1:7" ht="15" customHeight="1" thickTop="1" x14ac:dyDescent="0.25">
      <c r="A106" s="122"/>
      <c r="B106" s="122"/>
      <c r="C106" s="122"/>
      <c r="D106" s="109"/>
      <c r="E106" s="134">
        <f>E105-SCI!E21</f>
        <v>0</v>
      </c>
      <c r="F106" s="134">
        <f>F105-SCI!F21</f>
        <v>3.7252902984619141E-9</v>
      </c>
      <c r="G106" s="134">
        <f>E105-F105-G105</f>
        <v>-5.4715201258659363E-9</v>
      </c>
    </row>
    <row r="107" spans="1:7" ht="15" customHeight="1" x14ac:dyDescent="0.3">
      <c r="A107" s="118" t="s">
        <v>133</v>
      </c>
      <c r="E107" s="153"/>
      <c r="F107" s="153"/>
      <c r="G107" s="257"/>
    </row>
    <row r="108" spans="1:7" ht="15" customHeight="1" x14ac:dyDescent="0.25">
      <c r="E108" s="153"/>
      <c r="F108" s="153"/>
    </row>
    <row r="109" spans="1:7" s="103" customFormat="1" ht="15" customHeight="1" x14ac:dyDescent="0.25">
      <c r="E109" s="104"/>
      <c r="F109" s="244"/>
    </row>
    <row r="110" spans="1:7" s="103" customFormat="1" ht="15" customHeight="1" x14ac:dyDescent="0.25">
      <c r="E110" s="104"/>
      <c r="F110" s="104"/>
    </row>
    <row r="111" spans="1:7" s="103" customFormat="1" ht="15" customHeight="1" x14ac:dyDescent="0.25">
      <c r="E111" s="104"/>
      <c r="F111" s="104"/>
    </row>
    <row r="112" spans="1:7" s="103" customFormat="1" ht="15" customHeight="1" x14ac:dyDescent="0.3">
      <c r="A112" s="119"/>
      <c r="E112" s="104"/>
      <c r="F112" s="104"/>
    </row>
    <row r="113" spans="1:6" s="103" customFormat="1" ht="15" customHeight="1" x14ac:dyDescent="0.3">
      <c r="A113" s="120"/>
      <c r="E113" s="104"/>
      <c r="F113" s="104"/>
    </row>
  </sheetData>
  <printOptions horizontalCentered="1"/>
  <pageMargins left="0.2" right="0.2" top="0.75" bottom="0.75" header="0.3" footer="0.3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9"/>
  <sheetViews>
    <sheetView zoomScale="120" zoomScaleNormal="120" workbookViewId="0">
      <pane xSplit="3" ySplit="6" topLeftCell="D22" activePane="bottomRight" state="frozen"/>
      <selection pane="topRight" activeCell="D1" sqref="D1"/>
      <selection pane="bottomLeft" activeCell="A7" sqref="A7"/>
      <selection pane="bottomRight" activeCell="E25" sqref="E25"/>
    </sheetView>
  </sheetViews>
  <sheetFormatPr defaultRowHeight="15" customHeight="1" x14ac:dyDescent="0.25"/>
  <cols>
    <col min="1" max="2" width="3.33203125" style="68" customWidth="1"/>
    <col min="3" max="3" width="49.5546875" style="68" customWidth="1"/>
    <col min="4" max="4" width="11.21875" style="8" customWidth="1"/>
    <col min="5" max="6" width="18.77734375" style="68" customWidth="1"/>
    <col min="7" max="7" width="17.77734375" style="68" customWidth="1"/>
    <col min="8" max="16384" width="8.88671875" style="68"/>
  </cols>
  <sheetData>
    <row r="1" spans="1:7" ht="15" customHeight="1" x14ac:dyDescent="0.3">
      <c r="A1" s="264" t="s">
        <v>0</v>
      </c>
      <c r="B1" s="268"/>
      <c r="C1" s="268"/>
      <c r="F1" s="256"/>
    </row>
    <row r="2" spans="1:7" ht="15" customHeight="1" x14ac:dyDescent="0.25">
      <c r="A2" s="269" t="s">
        <v>1</v>
      </c>
      <c r="B2" s="268"/>
      <c r="C2" s="268"/>
    </row>
    <row r="3" spans="1:7" ht="15" customHeight="1" x14ac:dyDescent="0.25">
      <c r="A3" s="264" t="s">
        <v>34</v>
      </c>
      <c r="B3" s="268"/>
      <c r="C3" s="268"/>
    </row>
    <row r="4" spans="1:7" ht="15" customHeight="1" x14ac:dyDescent="0.25">
      <c r="A4" s="264" t="str">
        <f>'Detailed SCI'!A4</f>
        <v>As of March 31, 2024</v>
      </c>
      <c r="B4" s="268"/>
      <c r="C4" s="268"/>
    </row>
    <row r="5" spans="1:7" ht="15" customHeight="1" x14ac:dyDescent="0.25">
      <c r="A5" s="268"/>
      <c r="B5" s="268"/>
      <c r="C5" s="268"/>
    </row>
    <row r="6" spans="1:7" ht="15" customHeight="1" thickBot="1" x14ac:dyDescent="0.3">
      <c r="A6" s="268"/>
      <c r="B6" s="268"/>
      <c r="C6" s="268"/>
      <c r="D6" s="69" t="s">
        <v>64</v>
      </c>
      <c r="E6" s="70">
        <f>'Detailed SCI'!E6</f>
        <v>2024</v>
      </c>
      <c r="F6" s="70">
        <f>'Detailed SCI'!F6</f>
        <v>2023</v>
      </c>
      <c r="G6" s="70" t="s">
        <v>3</v>
      </c>
    </row>
    <row r="7" spans="1:7" ht="15" customHeight="1" thickTop="1" x14ac:dyDescent="0.25">
      <c r="A7" s="270"/>
      <c r="B7" s="270"/>
      <c r="C7" s="270"/>
      <c r="D7" s="71"/>
      <c r="E7" s="72"/>
      <c r="F7" s="72"/>
      <c r="G7" s="72"/>
    </row>
    <row r="8" spans="1:7" ht="15" customHeight="1" x14ac:dyDescent="0.25">
      <c r="A8" s="73" t="s">
        <v>25</v>
      </c>
      <c r="B8" s="4"/>
      <c r="C8" s="4"/>
      <c r="E8" s="4"/>
      <c r="F8" s="4"/>
      <c r="G8" s="4"/>
    </row>
    <row r="9" spans="1:7" ht="15" customHeight="1" x14ac:dyDescent="0.25">
      <c r="A9" s="73" t="s">
        <v>35</v>
      </c>
      <c r="B9" s="4"/>
      <c r="C9" s="4"/>
      <c r="E9" s="4"/>
      <c r="F9" s="4"/>
      <c r="G9" s="4"/>
    </row>
    <row r="10" spans="1:7" ht="15" customHeight="1" x14ac:dyDescent="0.25">
      <c r="B10" s="266" t="s">
        <v>44</v>
      </c>
      <c r="C10" s="268"/>
      <c r="E10" s="74">
        <v>68143720.230000004</v>
      </c>
      <c r="F10" s="74">
        <v>68143720.230000004</v>
      </c>
      <c r="G10" s="74">
        <f>E10-F10</f>
        <v>0</v>
      </c>
    </row>
    <row r="11" spans="1:7" ht="15" customHeight="1" x14ac:dyDescent="0.25">
      <c r="B11" s="266" t="s">
        <v>45</v>
      </c>
      <c r="C11" s="268"/>
      <c r="E11" s="74"/>
      <c r="F11" s="74"/>
      <c r="G11" s="74">
        <f>E11-F11</f>
        <v>0</v>
      </c>
    </row>
    <row r="12" spans="1:7" ht="15" customHeight="1" x14ac:dyDescent="0.25">
      <c r="A12" s="267"/>
      <c r="B12" s="267"/>
      <c r="C12" s="267"/>
      <c r="D12" s="75"/>
      <c r="E12" s="76"/>
      <c r="F12" s="76"/>
      <c r="G12" s="76"/>
    </row>
    <row r="13" spans="1:7" ht="15" customHeight="1" x14ac:dyDescent="0.25">
      <c r="A13" s="264" t="s">
        <v>36</v>
      </c>
      <c r="B13" s="268"/>
      <c r="C13" s="268"/>
      <c r="E13" s="77">
        <f>SUM(E10:E11)</f>
        <v>68143720.230000004</v>
      </c>
      <c r="F13" s="77">
        <f>SUM(F10:F11)</f>
        <v>68143720.230000004</v>
      </c>
      <c r="G13" s="77">
        <f>SUM(G10:G11)</f>
        <v>0</v>
      </c>
    </row>
    <row r="14" spans="1:7" ht="15" customHeight="1" x14ac:dyDescent="0.25">
      <c r="A14" s="267"/>
      <c r="B14" s="267"/>
      <c r="C14" s="267"/>
      <c r="D14" s="75"/>
      <c r="E14" s="76"/>
      <c r="F14" s="76"/>
      <c r="G14" s="76"/>
    </row>
    <row r="15" spans="1:7" ht="15" customHeight="1" x14ac:dyDescent="0.25">
      <c r="A15" s="73" t="s">
        <v>37</v>
      </c>
      <c r="B15" s="4"/>
      <c r="C15" s="4"/>
      <c r="E15" s="4"/>
      <c r="F15" s="4"/>
      <c r="G15" s="4"/>
    </row>
    <row r="16" spans="1:7" ht="15" customHeight="1" x14ac:dyDescent="0.25">
      <c r="A16" s="264" t="s">
        <v>35</v>
      </c>
      <c r="B16" s="264"/>
      <c r="C16" s="264"/>
      <c r="E16" s="78">
        <v>15000000</v>
      </c>
      <c r="F16" s="78">
        <v>15000000</v>
      </c>
      <c r="G16" s="74">
        <f>E16-F16</f>
        <v>0</v>
      </c>
    </row>
    <row r="17" spans="1:7" ht="15" customHeight="1" x14ac:dyDescent="0.25">
      <c r="B17" s="79" t="s">
        <v>38</v>
      </c>
      <c r="C17" s="79"/>
      <c r="E17" s="78">
        <v>0</v>
      </c>
      <c r="F17" s="78">
        <v>0</v>
      </c>
      <c r="G17" s="74">
        <f>E17-F17</f>
        <v>0</v>
      </c>
    </row>
    <row r="18" spans="1:7" ht="15" customHeight="1" x14ac:dyDescent="0.25">
      <c r="A18" s="80"/>
      <c r="B18" s="81" t="s">
        <v>39</v>
      </c>
      <c r="C18" s="81"/>
      <c r="D18" s="82"/>
      <c r="E18" s="83">
        <v>0</v>
      </c>
      <c r="F18" s="83">
        <v>0</v>
      </c>
      <c r="G18" s="84">
        <f>E18-F18</f>
        <v>0</v>
      </c>
    </row>
    <row r="19" spans="1:7" ht="15" customHeight="1" x14ac:dyDescent="0.25">
      <c r="B19" s="79"/>
      <c r="C19" s="79"/>
      <c r="E19" s="74"/>
      <c r="F19" s="74"/>
      <c r="G19" s="74"/>
    </row>
    <row r="20" spans="1:7" ht="15" customHeight="1" x14ac:dyDescent="0.3">
      <c r="A20" s="265" t="s">
        <v>36</v>
      </c>
      <c r="B20" s="265"/>
      <c r="C20" s="265"/>
      <c r="D20" s="82"/>
      <c r="E20" s="86">
        <f>SUM(E16:E19)</f>
        <v>15000000</v>
      </c>
      <c r="F20" s="86">
        <f>SUM(F16:F19)</f>
        <v>15000000</v>
      </c>
      <c r="G20" s="87">
        <f>E20-F20</f>
        <v>0</v>
      </c>
    </row>
    <row r="21" spans="1:7" ht="15" customHeight="1" x14ac:dyDescent="0.25">
      <c r="B21" s="266"/>
      <c r="C21" s="266"/>
      <c r="E21" s="74"/>
      <c r="F21" s="74"/>
      <c r="G21" s="74"/>
    </row>
    <row r="22" spans="1:7" ht="15" customHeight="1" x14ac:dyDescent="0.25">
      <c r="A22" s="73" t="s">
        <v>40</v>
      </c>
      <c r="B22" s="4"/>
      <c r="C22" s="4"/>
      <c r="D22" s="8">
        <v>21</v>
      </c>
      <c r="E22" s="4"/>
      <c r="F22" s="4"/>
      <c r="G22" s="4"/>
    </row>
    <row r="23" spans="1:7" ht="15" customHeight="1" x14ac:dyDescent="0.25">
      <c r="A23" s="264" t="s">
        <v>35</v>
      </c>
      <c r="B23" s="264"/>
      <c r="C23" s="264"/>
      <c r="E23" s="78">
        <v>30444287.350000001</v>
      </c>
      <c r="F23" s="78">
        <v>17976225.57</v>
      </c>
      <c r="G23" s="74">
        <f>E23-F23</f>
        <v>12468061.780000001</v>
      </c>
    </row>
    <row r="24" spans="1:7" ht="15" customHeight="1" x14ac:dyDescent="0.25">
      <c r="A24" s="88"/>
      <c r="B24" s="79" t="s">
        <v>41</v>
      </c>
      <c r="C24" s="88"/>
      <c r="E24" s="78">
        <f>-6000+131120.28+1634.91-19115.39+51948.65</f>
        <v>159588.45000000001</v>
      </c>
      <c r="F24" s="78">
        <v>-151471.12</v>
      </c>
      <c r="G24" s="74">
        <f t="shared" ref="G24:G27" si="0">E24-F24</f>
        <v>311059.57</v>
      </c>
    </row>
    <row r="25" spans="1:7" ht="15" customHeight="1" x14ac:dyDescent="0.25">
      <c r="A25" s="88"/>
      <c r="B25" s="79" t="s">
        <v>46</v>
      </c>
      <c r="C25" s="88"/>
      <c r="E25" s="78">
        <f>E23+E24</f>
        <v>30603875.800000001</v>
      </c>
      <c r="F25" s="78">
        <f>F23+F24</f>
        <v>17824754.449999999</v>
      </c>
      <c r="G25" s="74">
        <f t="shared" si="0"/>
        <v>12779121.350000001</v>
      </c>
    </row>
    <row r="26" spans="1:7" ht="15" customHeight="1" x14ac:dyDescent="0.25">
      <c r="A26" s="88"/>
      <c r="B26" s="79" t="s">
        <v>67</v>
      </c>
      <c r="C26" s="88"/>
      <c r="D26" s="8">
        <v>22</v>
      </c>
      <c r="E26" s="78">
        <v>0</v>
      </c>
      <c r="F26" s="78">
        <v>0</v>
      </c>
      <c r="G26" s="74">
        <f t="shared" si="0"/>
        <v>0</v>
      </c>
    </row>
    <row r="27" spans="1:7" ht="15" customHeight="1" x14ac:dyDescent="0.25">
      <c r="A27" s="80"/>
      <c r="B27" s="81" t="s">
        <v>42</v>
      </c>
      <c r="C27" s="81"/>
      <c r="D27" s="82"/>
      <c r="E27" s="83">
        <f>'Detailed SCI'!E105</f>
        <v>3614041.759999997</v>
      </c>
      <c r="F27" s="83">
        <f>'Detailed SCI'!F105</f>
        <v>2689652.7300000018</v>
      </c>
      <c r="G27" s="84">
        <f t="shared" si="0"/>
        <v>924389.02999999514</v>
      </c>
    </row>
    <row r="28" spans="1:7" ht="15" customHeight="1" x14ac:dyDescent="0.25">
      <c r="B28" s="79"/>
      <c r="C28" s="79"/>
      <c r="E28" s="74"/>
      <c r="F28" s="74"/>
      <c r="G28" s="74"/>
    </row>
    <row r="29" spans="1:7" ht="15" customHeight="1" x14ac:dyDescent="0.3">
      <c r="A29" s="265" t="s">
        <v>36</v>
      </c>
      <c r="B29" s="265"/>
      <c r="C29" s="265"/>
      <c r="D29" s="82"/>
      <c r="E29" s="86">
        <f>SUM(E25:E27)</f>
        <v>34217917.559999995</v>
      </c>
      <c r="F29" s="86">
        <f>SUM(F25:F27)</f>
        <v>20514407.18</v>
      </c>
      <c r="G29" s="86">
        <f>G25+G26+G27</f>
        <v>13703510.379999997</v>
      </c>
    </row>
    <row r="31" spans="1:7" ht="15" customHeight="1" thickBot="1" x14ac:dyDescent="0.35">
      <c r="A31" s="90" t="s">
        <v>43</v>
      </c>
      <c r="B31" s="91"/>
      <c r="C31" s="91"/>
      <c r="D31" s="92"/>
      <c r="E31" s="93">
        <f>E29+E20+E13</f>
        <v>117361637.78999999</v>
      </c>
      <c r="F31" s="93">
        <f>F29+F20+F13</f>
        <v>103658127.41</v>
      </c>
      <c r="G31" s="93">
        <f t="shared" ref="G31" si="1">G29+G20+G13</f>
        <v>13703510.379999997</v>
      </c>
    </row>
    <row r="32" spans="1:7" ht="11.4" customHeight="1" thickTop="1" x14ac:dyDescent="0.25">
      <c r="E32" s="94">
        <f>E31-'Detailed SFP'!F161</f>
        <v>0</v>
      </c>
      <c r="F32" s="94">
        <f>F31-SFP!G47</f>
        <v>0</v>
      </c>
      <c r="G32" s="94">
        <f>E31-F31-G31</f>
        <v>0</v>
      </c>
    </row>
    <row r="33" spans="1:7" s="4" customFormat="1" ht="15" customHeight="1" x14ac:dyDescent="0.3">
      <c r="A33" s="95" t="s">
        <v>60</v>
      </c>
      <c r="E33" s="96"/>
      <c r="F33" s="67"/>
      <c r="G33" s="22"/>
    </row>
    <row r="34" spans="1:7" s="4" customFormat="1" ht="15" customHeight="1" x14ac:dyDescent="0.25">
      <c r="E34" s="97"/>
      <c r="F34" s="22"/>
    </row>
    <row r="35" spans="1:7" s="98" customFormat="1" ht="15" customHeight="1" x14ac:dyDescent="0.25">
      <c r="E35" s="99"/>
    </row>
    <row r="36" spans="1:7" s="98" customFormat="1" ht="15" customHeight="1" x14ac:dyDescent="0.25">
      <c r="E36" s="99"/>
    </row>
    <row r="37" spans="1:7" s="98" customFormat="1" ht="15" customHeight="1" x14ac:dyDescent="0.25">
      <c r="E37" s="99"/>
    </row>
    <row r="38" spans="1:7" s="98" customFormat="1" ht="15" customHeight="1" x14ac:dyDescent="0.3">
      <c r="A38" s="100"/>
      <c r="E38" s="99"/>
    </row>
    <row r="39" spans="1:7" s="98" customFormat="1" ht="15" customHeight="1" x14ac:dyDescent="0.3">
      <c r="A39" s="101"/>
      <c r="E39" s="99"/>
    </row>
  </sheetData>
  <mergeCells count="17">
    <mergeCell ref="A14:C14"/>
    <mergeCell ref="A1:C1"/>
    <mergeCell ref="A2:C2"/>
    <mergeCell ref="A3:C3"/>
    <mergeCell ref="A4:C4"/>
    <mergeCell ref="A5:C5"/>
    <mergeCell ref="A6:C6"/>
    <mergeCell ref="A7:C7"/>
    <mergeCell ref="B10:C10"/>
    <mergeCell ref="B11:C11"/>
    <mergeCell ref="A12:C12"/>
    <mergeCell ref="A13:C13"/>
    <mergeCell ref="A16:C16"/>
    <mergeCell ref="A20:C20"/>
    <mergeCell ref="B21:C21"/>
    <mergeCell ref="A23:C23"/>
    <mergeCell ref="A29:C29"/>
  </mergeCells>
  <printOptions horizontalCentered="1"/>
  <pageMargins left="0.11811023622047245" right="0.11811023622047245" top="0.35433070866141736" bottom="0.35433070866141736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67"/>
  <sheetViews>
    <sheetView zoomScale="120" zoomScaleNormal="12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F11" sqref="F11"/>
    </sheetView>
  </sheetViews>
  <sheetFormatPr defaultColWidth="18.109375" defaultRowHeight="15" customHeight="1" x14ac:dyDescent="0.25"/>
  <cols>
    <col min="1" max="1" width="4.77734375" style="68" customWidth="1"/>
    <col min="2" max="2" width="18.109375" style="68"/>
    <col min="3" max="3" width="40.88671875" style="68" customWidth="1"/>
    <col min="4" max="4" width="10.5546875" style="68" customWidth="1"/>
    <col min="5" max="5" width="18.109375" style="68" customWidth="1"/>
    <col min="6" max="6" width="18.77734375" style="68" customWidth="1"/>
    <col min="7" max="7" width="17.6640625" style="68" customWidth="1"/>
    <col min="8" max="16384" width="18.109375" style="68"/>
  </cols>
  <sheetData>
    <row r="1" spans="1:7" ht="15" customHeight="1" x14ac:dyDescent="0.25">
      <c r="A1" s="264" t="s">
        <v>0</v>
      </c>
      <c r="B1" s="268"/>
      <c r="C1" s="268"/>
    </row>
    <row r="2" spans="1:7" ht="15" customHeight="1" x14ac:dyDescent="0.25">
      <c r="A2" s="269" t="s">
        <v>1</v>
      </c>
      <c r="B2" s="268"/>
      <c r="C2" s="268"/>
    </row>
    <row r="3" spans="1:7" ht="15" customHeight="1" x14ac:dyDescent="0.25">
      <c r="A3" s="264" t="s">
        <v>207</v>
      </c>
      <c r="B3" s="268"/>
      <c r="C3" s="268"/>
    </row>
    <row r="4" spans="1:7" ht="15" customHeight="1" x14ac:dyDescent="0.25">
      <c r="A4" s="264" t="str">
        <f>SCE!A4</f>
        <v>As of March 31, 2024</v>
      </c>
      <c r="B4" s="268"/>
      <c r="C4" s="268"/>
    </row>
    <row r="5" spans="1:7" ht="15" customHeight="1" x14ac:dyDescent="0.25">
      <c r="A5" s="268"/>
      <c r="B5" s="268"/>
      <c r="C5" s="268"/>
    </row>
    <row r="6" spans="1:7" ht="15" customHeight="1" thickBot="1" x14ac:dyDescent="0.35">
      <c r="A6" s="268"/>
      <c r="B6" s="268"/>
      <c r="C6" s="268"/>
      <c r="D6" s="160" t="s">
        <v>73</v>
      </c>
      <c r="E6" s="70">
        <f>SCE!E6</f>
        <v>2024</v>
      </c>
      <c r="F6" s="70">
        <f>SCE!F6</f>
        <v>2023</v>
      </c>
      <c r="G6" s="70" t="s">
        <v>3</v>
      </c>
    </row>
    <row r="7" spans="1:7" ht="15" customHeight="1" thickTop="1" x14ac:dyDescent="0.25">
      <c r="A7" s="270"/>
      <c r="B7" s="270"/>
      <c r="C7" s="270"/>
      <c r="D7" s="72"/>
      <c r="E7" s="72"/>
      <c r="F7" s="72"/>
      <c r="G7" s="72"/>
    </row>
    <row r="8" spans="1:7" ht="15" customHeight="1" x14ac:dyDescent="0.25">
      <c r="A8" s="73" t="s">
        <v>47</v>
      </c>
      <c r="B8" s="4"/>
      <c r="C8" s="4"/>
      <c r="D8" s="4"/>
      <c r="E8" s="22"/>
      <c r="F8" s="4"/>
      <c r="G8" s="4"/>
    </row>
    <row r="9" spans="1:7" ht="15" customHeight="1" x14ac:dyDescent="0.25">
      <c r="A9" s="79" t="s">
        <v>48</v>
      </c>
      <c r="B9" s="4"/>
      <c r="C9" s="4"/>
      <c r="D9" s="4"/>
      <c r="E9" s="4"/>
      <c r="F9" s="4"/>
      <c r="G9" s="4"/>
    </row>
    <row r="10" spans="1:7" ht="15" customHeight="1" x14ac:dyDescent="0.25">
      <c r="A10" s="73"/>
      <c r="B10" s="4" t="s">
        <v>209</v>
      </c>
      <c r="C10" s="4"/>
      <c r="D10" s="4"/>
      <c r="E10" s="135">
        <f>'Detailed SCF'!E11</f>
        <v>85848675.489999995</v>
      </c>
      <c r="F10" s="135">
        <f>'Detailed SCF'!F11</f>
        <v>77765414.599999994</v>
      </c>
      <c r="G10" s="78">
        <f>E10-F10</f>
        <v>8083260.8900000006</v>
      </c>
    </row>
    <row r="11" spans="1:7" ht="15" customHeight="1" x14ac:dyDescent="0.25">
      <c r="A11" s="73"/>
      <c r="B11" s="4" t="s">
        <v>62</v>
      </c>
      <c r="C11" s="4"/>
      <c r="D11" s="4"/>
      <c r="E11" s="89">
        <f>'Detailed SCF'!E13</f>
        <v>12263744.02</v>
      </c>
      <c r="F11" s="89">
        <f>'Detailed SCF'!F13</f>
        <v>3395149.83</v>
      </c>
      <c r="G11" s="78">
        <f t="shared" ref="G11:G13" si="0">E11-F11</f>
        <v>8868594.1899999995</v>
      </c>
    </row>
    <row r="12" spans="1:7" ht="15" customHeight="1" x14ac:dyDescent="0.25">
      <c r="A12" s="73"/>
      <c r="B12" s="4" t="s">
        <v>217</v>
      </c>
      <c r="C12" s="4"/>
      <c r="D12" s="8">
        <v>23</v>
      </c>
      <c r="E12" s="89">
        <f>'Detailed SCF'!E15</f>
        <v>1791265.82</v>
      </c>
      <c r="F12" s="89">
        <f>'Detailed SCF'!F15</f>
        <v>0</v>
      </c>
      <c r="G12" s="78">
        <f t="shared" si="0"/>
        <v>1791265.82</v>
      </c>
    </row>
    <row r="13" spans="1:7" ht="15" customHeight="1" x14ac:dyDescent="0.25">
      <c r="A13" s="73"/>
      <c r="B13" s="4" t="s">
        <v>235</v>
      </c>
      <c r="C13" s="4"/>
      <c r="D13" s="8"/>
      <c r="E13" s="89">
        <f>'Detailed SCF'!E17</f>
        <v>0</v>
      </c>
      <c r="F13" s="89">
        <f>'Detailed SCF'!F17</f>
        <v>0</v>
      </c>
      <c r="G13" s="78">
        <f t="shared" si="0"/>
        <v>0</v>
      </c>
    </row>
    <row r="14" spans="1:7" ht="15" customHeight="1" x14ac:dyDescent="0.25">
      <c r="A14" s="73"/>
      <c r="B14" s="4" t="s">
        <v>49</v>
      </c>
      <c r="C14" s="4"/>
      <c r="D14" s="4"/>
      <c r="E14" s="89">
        <f>SUM(E10:E13)</f>
        <v>99903685.329999983</v>
      </c>
      <c r="F14" s="89">
        <f>SUM(F10:F13)</f>
        <v>81160564.429999992</v>
      </c>
      <c r="G14" s="78">
        <f>SUM(G10:G13)</f>
        <v>18743120.899999999</v>
      </c>
    </row>
    <row r="15" spans="1:7" ht="15" customHeight="1" x14ac:dyDescent="0.25">
      <c r="A15" s="79" t="s">
        <v>50</v>
      </c>
      <c r="B15" s="4"/>
      <c r="C15" s="4"/>
      <c r="D15" s="4"/>
      <c r="E15" s="136"/>
      <c r="F15" s="136"/>
      <c r="G15" s="78">
        <f t="shared" ref="G15" si="1">F15-E15</f>
        <v>0</v>
      </c>
    </row>
    <row r="16" spans="1:7" ht="15" customHeight="1" x14ac:dyDescent="0.25">
      <c r="A16" s="73"/>
      <c r="B16" s="4" t="s">
        <v>212</v>
      </c>
      <c r="C16" s="4"/>
      <c r="D16" s="4"/>
      <c r="E16" s="137">
        <f>'Detailed SCF'!E21+'Detailed SCF'!E22</f>
        <v>15828919.5</v>
      </c>
      <c r="F16" s="137">
        <f>'Detailed SCF'!F21+'Detailed SCF'!F22</f>
        <v>17081613.140000001</v>
      </c>
      <c r="G16" s="78">
        <f t="shared" ref="G16:G19" si="2">E16-F16</f>
        <v>-1252693.6400000006</v>
      </c>
    </row>
    <row r="17" spans="1:8" ht="15" customHeight="1" x14ac:dyDescent="0.25">
      <c r="A17" s="73"/>
      <c r="B17" s="4" t="s">
        <v>222</v>
      </c>
      <c r="C17" s="4"/>
      <c r="D17" s="4"/>
      <c r="E17" s="137">
        <f>'Detailed SCF'!E24</f>
        <v>412085.94</v>
      </c>
      <c r="F17" s="137">
        <f>'Detailed SCF'!F24</f>
        <v>310582.59999999998</v>
      </c>
      <c r="G17" s="78">
        <f t="shared" si="2"/>
        <v>101503.34000000003</v>
      </c>
    </row>
    <row r="18" spans="1:8" ht="15" customHeight="1" x14ac:dyDescent="0.25">
      <c r="A18" s="73"/>
      <c r="B18" s="4" t="s">
        <v>226</v>
      </c>
      <c r="C18" s="4"/>
      <c r="D18" s="4"/>
      <c r="E18" s="137">
        <f>'Detailed SCF'!E25</f>
        <v>4266718.05</v>
      </c>
      <c r="F18" s="137">
        <f>'Detailed SCF'!F25</f>
        <v>2631657.21</v>
      </c>
      <c r="G18" s="78">
        <f t="shared" si="2"/>
        <v>1635060.8399999999</v>
      </c>
    </row>
    <row r="19" spans="1:8" ht="29.4" customHeight="1" x14ac:dyDescent="0.25">
      <c r="A19" s="73"/>
      <c r="B19" s="273" t="s">
        <v>214</v>
      </c>
      <c r="C19" s="273"/>
      <c r="D19" s="159"/>
      <c r="E19" s="137">
        <f>'Detailed SCF'!E27+'Detailed SCF'!E28</f>
        <v>3314260.4800000004</v>
      </c>
      <c r="F19" s="137">
        <f>'Detailed SCF'!F27+'Detailed SCF'!F28</f>
        <v>2520913.83</v>
      </c>
      <c r="G19" s="78">
        <f t="shared" si="2"/>
        <v>793346.65000000037</v>
      </c>
    </row>
    <row r="20" spans="1:8" ht="15" customHeight="1" x14ac:dyDescent="0.25">
      <c r="A20" s="73"/>
      <c r="B20" s="4" t="s">
        <v>211</v>
      </c>
      <c r="C20" s="4"/>
      <c r="D20" s="4"/>
      <c r="E20" s="136">
        <f>'Detailed SCF'!E30+'Detailed SCF'!E31</f>
        <v>60000000</v>
      </c>
      <c r="F20" s="136">
        <f>'Detailed SCF'!F30</f>
        <v>40000000</v>
      </c>
      <c r="G20" s="78">
        <v>0</v>
      </c>
    </row>
    <row r="21" spans="1:8" ht="15" customHeight="1" x14ac:dyDescent="0.25">
      <c r="A21" s="234"/>
      <c r="B21" s="271" t="s">
        <v>51</v>
      </c>
      <c r="C21" s="272"/>
      <c r="D21" s="234"/>
      <c r="E21" s="235">
        <f t="shared" ref="E21" si="3">SUM(E16:E20)</f>
        <v>83821983.969999999</v>
      </c>
      <c r="F21" s="235">
        <f t="shared" ref="F21:G21" si="4">SUM(F16:F20)</f>
        <v>62544766.780000001</v>
      </c>
      <c r="G21" s="235">
        <f t="shared" si="4"/>
        <v>1277217.1899999997</v>
      </c>
      <c r="H21" s="139"/>
    </row>
    <row r="22" spans="1:8" ht="15" customHeight="1" x14ac:dyDescent="0.25">
      <c r="A22" s="267"/>
      <c r="B22" s="267"/>
      <c r="C22" s="267"/>
      <c r="D22" s="76"/>
      <c r="E22" s="140"/>
      <c r="F22" s="140"/>
      <c r="G22" s="140"/>
    </row>
    <row r="23" spans="1:8" ht="15" customHeight="1" x14ac:dyDescent="0.25">
      <c r="A23" s="264" t="s">
        <v>52</v>
      </c>
      <c r="B23" s="268"/>
      <c r="C23" s="268"/>
      <c r="E23" s="141">
        <f>E14-E21</f>
        <v>16081701.359999985</v>
      </c>
      <c r="F23" s="141">
        <f>F14-F21</f>
        <v>18615797.649999991</v>
      </c>
      <c r="G23" s="141">
        <f>+G21+G14</f>
        <v>20020338.09</v>
      </c>
      <c r="H23" s="139"/>
    </row>
    <row r="24" spans="1:8" ht="15" customHeight="1" x14ac:dyDescent="0.25">
      <c r="A24" s="267"/>
      <c r="B24" s="267"/>
      <c r="C24" s="267"/>
      <c r="D24" s="76"/>
      <c r="E24" s="140"/>
      <c r="F24" s="140"/>
      <c r="G24" s="140"/>
    </row>
    <row r="25" spans="1:8" ht="15" customHeight="1" x14ac:dyDescent="0.25">
      <c r="A25" s="73" t="s">
        <v>53</v>
      </c>
      <c r="B25" s="4"/>
      <c r="C25" s="4"/>
      <c r="D25" s="4"/>
      <c r="E25" s="136"/>
      <c r="F25" s="136"/>
      <c r="G25" s="136"/>
    </row>
    <row r="26" spans="1:8" ht="15" customHeight="1" x14ac:dyDescent="0.25">
      <c r="A26" s="276" t="s">
        <v>48</v>
      </c>
      <c r="B26" s="276"/>
      <c r="C26" s="276"/>
      <c r="D26" s="157"/>
      <c r="E26" s="136"/>
      <c r="F26" s="136"/>
      <c r="G26" s="138"/>
    </row>
    <row r="27" spans="1:8" ht="15" customHeight="1" x14ac:dyDescent="0.25">
      <c r="A27" s="88"/>
      <c r="B27" s="266" t="s">
        <v>215</v>
      </c>
      <c r="C27" s="268"/>
      <c r="E27" s="89">
        <f>'Detailed SCF'!E38</f>
        <v>72361.740000000005</v>
      </c>
      <c r="F27" s="89">
        <f>'Detailed SCI'!F14</f>
        <v>74607.97</v>
      </c>
      <c r="G27" s="78">
        <f t="shared" ref="G27:G30" si="5">E27-F27</f>
        <v>-2246.2299999999959</v>
      </c>
    </row>
    <row r="28" spans="1:8" ht="15" customHeight="1" x14ac:dyDescent="0.25">
      <c r="A28" s="276" t="s">
        <v>50</v>
      </c>
      <c r="B28" s="276"/>
      <c r="C28" s="276"/>
      <c r="D28" s="157"/>
      <c r="E28" s="137"/>
      <c r="F28" s="137"/>
      <c r="G28" s="138"/>
    </row>
    <row r="29" spans="1:8" ht="15" customHeight="1" x14ac:dyDescent="0.25">
      <c r="A29" s="88"/>
      <c r="B29" s="277" t="s">
        <v>229</v>
      </c>
      <c r="C29" s="277"/>
      <c r="D29" s="158"/>
      <c r="E29" s="89">
        <f>('Detailed SCF'!E41)</f>
        <v>1666743.16</v>
      </c>
      <c r="F29" s="89">
        <f>'Detailed SCF'!F41</f>
        <v>0</v>
      </c>
      <c r="G29" s="78">
        <f>E29-F29</f>
        <v>1666743.16</v>
      </c>
    </row>
    <row r="30" spans="1:8" ht="15" customHeight="1" x14ac:dyDescent="0.25">
      <c r="A30" s="88"/>
      <c r="B30" s="277" t="s">
        <v>216</v>
      </c>
      <c r="C30" s="277"/>
      <c r="D30" s="158"/>
      <c r="E30" s="78">
        <f>('Detailed SCF'!E43+'Detailed SCF'!E44+'Detailed SCF'!E45+'Detailed SCF'!E46)</f>
        <v>726702.68</v>
      </c>
      <c r="F30" s="78">
        <f>'Detailed SCF'!F43+'Detailed SCF'!F44+'Detailed SCF'!F45+'Detailed SCF'!F46</f>
        <v>0</v>
      </c>
      <c r="G30" s="78">
        <f t="shared" si="5"/>
        <v>726702.68</v>
      </c>
    </row>
    <row r="31" spans="1:8" ht="15" customHeight="1" x14ac:dyDescent="0.25">
      <c r="A31" s="236"/>
      <c r="B31" s="237" t="s">
        <v>51</v>
      </c>
      <c r="C31" s="236"/>
      <c r="D31" s="236"/>
      <c r="E31" s="238">
        <f>E29+E30</f>
        <v>2393445.84</v>
      </c>
      <c r="F31" s="238">
        <f>F29+F30</f>
        <v>0</v>
      </c>
      <c r="G31" s="239">
        <f>E31-F31</f>
        <v>2393445.84</v>
      </c>
      <c r="H31" s="240"/>
    </row>
    <row r="32" spans="1:8" ht="15" customHeight="1" x14ac:dyDescent="0.25">
      <c r="B32" s="79"/>
      <c r="C32" s="79"/>
      <c r="D32" s="79"/>
      <c r="E32" s="138"/>
      <c r="F32" s="138"/>
      <c r="G32" s="138"/>
    </row>
    <row r="33" spans="1:8" ht="15" customHeight="1" x14ac:dyDescent="0.3">
      <c r="A33" s="265" t="s">
        <v>54</v>
      </c>
      <c r="B33" s="278"/>
      <c r="C33" s="278"/>
      <c r="D33" s="80"/>
      <c r="E33" s="143">
        <f>E27-E31</f>
        <v>-2321084.0999999996</v>
      </c>
      <c r="F33" s="143">
        <f>F27-F31</f>
        <v>74607.97</v>
      </c>
      <c r="G33" s="144">
        <f>G27+G31</f>
        <v>2391199.61</v>
      </c>
      <c r="H33" s="240"/>
    </row>
    <row r="34" spans="1:8" ht="15" customHeight="1" x14ac:dyDescent="0.25">
      <c r="B34" s="266"/>
      <c r="C34" s="266"/>
      <c r="D34" s="156"/>
      <c r="E34" s="138"/>
      <c r="F34" s="138"/>
      <c r="G34" s="138"/>
    </row>
    <row r="35" spans="1:8" ht="15" customHeight="1" x14ac:dyDescent="0.25">
      <c r="A35" s="73" t="s">
        <v>55</v>
      </c>
      <c r="B35" s="4"/>
      <c r="C35" s="4"/>
      <c r="D35" s="4"/>
      <c r="E35" s="136"/>
      <c r="F35" s="136"/>
      <c r="G35" s="136"/>
    </row>
    <row r="36" spans="1:8" ht="15" customHeight="1" x14ac:dyDescent="0.25">
      <c r="A36" s="276" t="s">
        <v>50</v>
      </c>
      <c r="B36" s="276"/>
      <c r="C36" s="276"/>
      <c r="D36" s="157"/>
      <c r="E36" s="136"/>
      <c r="F36" s="136"/>
      <c r="G36" s="138"/>
    </row>
    <row r="37" spans="1:8" ht="15" customHeight="1" x14ac:dyDescent="0.25">
      <c r="A37" s="85"/>
      <c r="B37" s="81" t="s">
        <v>63</v>
      </c>
      <c r="C37" s="85"/>
      <c r="D37" s="85"/>
      <c r="E37" s="83">
        <f>'Detailed SCF'!E53</f>
        <v>0</v>
      </c>
      <c r="F37" s="83">
        <v>0</v>
      </c>
      <c r="G37" s="142">
        <f>E37-F37</f>
        <v>0</v>
      </c>
    </row>
    <row r="38" spans="1:8" ht="15" customHeight="1" x14ac:dyDescent="0.25">
      <c r="B38" s="79"/>
      <c r="C38" s="79"/>
      <c r="D38" s="79"/>
      <c r="E38" s="138"/>
      <c r="F38" s="138"/>
      <c r="G38" s="138"/>
    </row>
    <row r="39" spans="1:8" ht="15" customHeight="1" x14ac:dyDescent="0.3">
      <c r="A39" s="265" t="s">
        <v>56</v>
      </c>
      <c r="B39" s="278"/>
      <c r="C39" s="278"/>
      <c r="D39" s="80"/>
      <c r="E39" s="143">
        <f>-E37</f>
        <v>0</v>
      </c>
      <c r="F39" s="143">
        <f>-F37</f>
        <v>0</v>
      </c>
      <c r="G39" s="143">
        <f>G37</f>
        <v>0</v>
      </c>
    </row>
    <row r="40" spans="1:8" ht="15" customHeight="1" x14ac:dyDescent="0.3">
      <c r="A40" s="88"/>
      <c r="E40" s="145"/>
      <c r="F40" s="145"/>
      <c r="G40" s="145"/>
    </row>
    <row r="41" spans="1:8" ht="15" customHeight="1" x14ac:dyDescent="0.3">
      <c r="A41" s="264" t="s">
        <v>57</v>
      </c>
      <c r="B41" s="268"/>
      <c r="C41" s="268"/>
      <c r="E41" s="145">
        <f>E23+E33+E39</f>
        <v>13760617.259999985</v>
      </c>
      <c r="F41" s="145">
        <f>F23+F33+F39</f>
        <v>18690405.61999999</v>
      </c>
      <c r="G41" s="145">
        <f>G23+G33+G39</f>
        <v>22411537.699999999</v>
      </c>
      <c r="H41" s="139"/>
    </row>
    <row r="42" spans="1:8" ht="15" customHeight="1" x14ac:dyDescent="0.3">
      <c r="A42" s="88"/>
      <c r="E42" s="145"/>
      <c r="F42" s="145"/>
      <c r="G42" s="145"/>
    </row>
    <row r="43" spans="1:8" ht="15" customHeight="1" x14ac:dyDescent="0.3">
      <c r="A43" s="265" t="s">
        <v>58</v>
      </c>
      <c r="B43" s="278"/>
      <c r="C43" s="278"/>
      <c r="D43" s="80"/>
      <c r="E43" s="144">
        <f>'Detailed SCF'!E59</f>
        <v>8560466.7599999998</v>
      </c>
      <c r="F43" s="144">
        <f>'Detailed SCF'!F59</f>
        <v>24414311.690000001</v>
      </c>
      <c r="G43" s="144">
        <f>E43-F43</f>
        <v>-15853844.930000002</v>
      </c>
      <c r="H43" s="139"/>
    </row>
    <row r="44" spans="1:8" ht="15" customHeight="1" x14ac:dyDescent="0.3">
      <c r="A44" s="88"/>
      <c r="E44" s="145"/>
      <c r="F44" s="145"/>
      <c r="G44" s="145"/>
    </row>
    <row r="45" spans="1:8" ht="15" customHeight="1" thickBot="1" x14ac:dyDescent="0.35">
      <c r="A45" s="274" t="s">
        <v>59</v>
      </c>
      <c r="B45" s="275"/>
      <c r="C45" s="275"/>
      <c r="D45" s="91"/>
      <c r="E45" s="146">
        <f t="shared" ref="E45" si="6">E41+E43</f>
        <v>22321084.019999985</v>
      </c>
      <c r="F45" s="146">
        <f t="shared" ref="F45" si="7">F41+F43</f>
        <v>43104717.309999987</v>
      </c>
      <c r="G45" s="146">
        <f>E45-F45</f>
        <v>-20783633.290000003</v>
      </c>
    </row>
    <row r="46" spans="1:8" ht="15" customHeight="1" thickTop="1" x14ac:dyDescent="0.25">
      <c r="E46" s="147">
        <f>E45-'Detailed SCF'!E61</f>
        <v>0</v>
      </c>
      <c r="F46" s="147">
        <f>F45-'Detailed SCF'!F61</f>
        <v>0</v>
      </c>
      <c r="G46" s="147">
        <f>E45-F45-G45</f>
        <v>0</v>
      </c>
    </row>
    <row r="47" spans="1:8" s="98" customFormat="1" ht="15" customHeight="1" x14ac:dyDescent="0.3">
      <c r="F47" s="148"/>
    </row>
    <row r="48" spans="1:8" s="98" customFormat="1" ht="15" customHeight="1" x14ac:dyDescent="0.25">
      <c r="F48" s="99"/>
    </row>
    <row r="49" spans="1:7" s="98" customFormat="1" ht="15" customHeight="1" x14ac:dyDescent="0.25">
      <c r="F49" s="99"/>
    </row>
    <row r="50" spans="1:7" s="98" customFormat="1" ht="15" customHeight="1" x14ac:dyDescent="0.3">
      <c r="A50" s="100"/>
      <c r="F50" s="99"/>
    </row>
    <row r="51" spans="1:7" s="98" customFormat="1" ht="15" customHeight="1" x14ac:dyDescent="0.3">
      <c r="A51" s="101"/>
      <c r="F51" s="99"/>
    </row>
    <row r="52" spans="1:7" ht="15" customHeight="1" x14ac:dyDescent="0.25">
      <c r="E52" s="149"/>
      <c r="F52" s="147"/>
      <c r="G52" s="149"/>
    </row>
    <row r="53" spans="1:7" ht="15" customHeight="1" x14ac:dyDescent="0.25">
      <c r="E53" s="139"/>
      <c r="F53" s="147"/>
      <c r="G53" s="139"/>
    </row>
    <row r="54" spans="1:7" ht="15" customHeight="1" x14ac:dyDescent="0.25">
      <c r="F54" s="147"/>
    </row>
    <row r="55" spans="1:7" ht="15" customHeight="1" x14ac:dyDescent="0.25">
      <c r="F55" s="147"/>
    </row>
    <row r="56" spans="1:7" ht="15" customHeight="1" x14ac:dyDescent="0.25">
      <c r="F56" s="147"/>
    </row>
    <row r="57" spans="1:7" ht="15" customHeight="1" x14ac:dyDescent="0.25">
      <c r="F57" s="147"/>
    </row>
    <row r="58" spans="1:7" ht="15" customHeight="1" x14ac:dyDescent="0.25">
      <c r="F58" s="147"/>
    </row>
    <row r="59" spans="1:7" ht="15" customHeight="1" x14ac:dyDescent="0.25">
      <c r="F59" s="147"/>
    </row>
    <row r="60" spans="1:7" ht="15" customHeight="1" x14ac:dyDescent="0.25">
      <c r="F60" s="147"/>
    </row>
    <row r="61" spans="1:7" ht="15" customHeight="1" x14ac:dyDescent="0.25">
      <c r="F61" s="147"/>
    </row>
    <row r="62" spans="1:7" ht="15" customHeight="1" x14ac:dyDescent="0.25">
      <c r="F62" s="147"/>
    </row>
    <row r="63" spans="1:7" ht="15" customHeight="1" x14ac:dyDescent="0.25">
      <c r="F63" s="147"/>
    </row>
    <row r="64" spans="1:7" ht="15" customHeight="1" x14ac:dyDescent="0.25">
      <c r="F64" s="147"/>
    </row>
    <row r="65" spans="6:6" ht="15" customHeight="1" x14ac:dyDescent="0.25">
      <c r="F65" s="147"/>
    </row>
    <row r="66" spans="6:6" ht="15" customHeight="1" x14ac:dyDescent="0.25">
      <c r="F66" s="147"/>
    </row>
    <row r="67" spans="6:6" ht="15" customHeight="1" x14ac:dyDescent="0.25">
      <c r="F67" s="147"/>
    </row>
  </sheetData>
  <mergeCells count="24">
    <mergeCell ref="A45:C45"/>
    <mergeCell ref="A26:C26"/>
    <mergeCell ref="B27:C27"/>
    <mergeCell ref="A28:C28"/>
    <mergeCell ref="B29:C29"/>
    <mergeCell ref="A33:C33"/>
    <mergeCell ref="B34:C34"/>
    <mergeCell ref="A36:C36"/>
    <mergeCell ref="A39:C39"/>
    <mergeCell ref="A41:C41"/>
    <mergeCell ref="A43:C43"/>
    <mergeCell ref="B30:C30"/>
    <mergeCell ref="A7:C7"/>
    <mergeCell ref="B21:C21"/>
    <mergeCell ref="A22:C22"/>
    <mergeCell ref="A23:C23"/>
    <mergeCell ref="A24:C24"/>
    <mergeCell ref="B19:C19"/>
    <mergeCell ref="A6:C6"/>
    <mergeCell ref="A1:C1"/>
    <mergeCell ref="A2:C2"/>
    <mergeCell ref="A3:C3"/>
    <mergeCell ref="A4:C4"/>
    <mergeCell ref="A5:C5"/>
  </mergeCells>
  <printOptions horizontalCentered="1"/>
  <pageMargins left="0.11811023622047245" right="0.11811023622047245" top="0.35433070866141736" bottom="0.35433070866141736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00000"/>
  </sheetPr>
  <dimension ref="A1:H83"/>
  <sheetViews>
    <sheetView tabSelected="1" zoomScale="120" zoomScaleNormal="120" workbookViewId="0">
      <pane xSplit="3" ySplit="6" topLeftCell="D60" activePane="bottomRight" state="frozen"/>
      <selection pane="topRight" activeCell="D1" sqref="D1"/>
      <selection pane="bottomLeft" activeCell="A7" sqref="A7"/>
      <selection pane="bottomRight" activeCell="E62" sqref="E62"/>
    </sheetView>
  </sheetViews>
  <sheetFormatPr defaultColWidth="18.109375" defaultRowHeight="15" customHeight="1" x14ac:dyDescent="0.25"/>
  <cols>
    <col min="1" max="1" width="3.21875" style="161" customWidth="1"/>
    <col min="2" max="2" width="4" style="161" customWidth="1"/>
    <col min="3" max="3" width="56.33203125" style="161" customWidth="1"/>
    <col min="4" max="4" width="10.77734375" style="161" customWidth="1"/>
    <col min="5" max="5" width="18.109375" style="161" customWidth="1"/>
    <col min="6" max="6" width="18.77734375" style="162" customWidth="1"/>
    <col min="7" max="7" width="17.6640625" style="161" customWidth="1"/>
    <col min="8" max="16384" width="18.109375" style="161"/>
  </cols>
  <sheetData>
    <row r="1" spans="1:7" ht="15" customHeight="1" x14ac:dyDescent="0.3">
      <c r="A1" s="280" t="s">
        <v>0</v>
      </c>
      <c r="B1" s="279"/>
      <c r="C1" s="279"/>
      <c r="F1" s="256"/>
      <c r="G1" s="259"/>
    </row>
    <row r="2" spans="1:7" ht="15" customHeight="1" x14ac:dyDescent="0.25">
      <c r="A2" s="281" t="s">
        <v>1</v>
      </c>
      <c r="B2" s="279"/>
      <c r="C2" s="279"/>
    </row>
    <row r="3" spans="1:7" ht="15" customHeight="1" x14ac:dyDescent="0.25">
      <c r="A3" s="280" t="s">
        <v>208</v>
      </c>
      <c r="B3" s="279"/>
      <c r="C3" s="279"/>
    </row>
    <row r="4" spans="1:7" ht="15" customHeight="1" x14ac:dyDescent="0.25">
      <c r="A4" s="280" t="str">
        <f>SCE!A4</f>
        <v>As of March 31, 2024</v>
      </c>
      <c r="B4" s="279"/>
      <c r="C4" s="279"/>
    </row>
    <row r="5" spans="1:7" ht="15" customHeight="1" x14ac:dyDescent="0.25">
      <c r="A5" s="279"/>
      <c r="B5" s="279"/>
      <c r="C5" s="279"/>
    </row>
    <row r="6" spans="1:7" ht="15" customHeight="1" thickBot="1" x14ac:dyDescent="0.3">
      <c r="A6" s="279"/>
      <c r="B6" s="279"/>
      <c r="C6" s="279"/>
      <c r="D6" s="163" t="s">
        <v>73</v>
      </c>
      <c r="E6" s="164">
        <f>SCF!E6</f>
        <v>2024</v>
      </c>
      <c r="F6" s="165">
        <f>SCF!F6</f>
        <v>2023</v>
      </c>
      <c r="G6" s="164" t="s">
        <v>3</v>
      </c>
    </row>
    <row r="7" spans="1:7" ht="15" customHeight="1" thickTop="1" x14ac:dyDescent="0.25">
      <c r="A7" s="283"/>
      <c r="B7" s="283"/>
      <c r="C7" s="283"/>
      <c r="D7" s="166"/>
      <c r="E7" s="166"/>
      <c r="F7" s="167"/>
      <c r="G7" s="166"/>
    </row>
    <row r="8" spans="1:7" ht="15" customHeight="1" x14ac:dyDescent="0.25">
      <c r="A8" s="168" t="s">
        <v>47</v>
      </c>
      <c r="B8" s="169"/>
      <c r="C8" s="169"/>
      <c r="D8" s="169"/>
      <c r="E8" s="170"/>
      <c r="F8" s="171"/>
      <c r="G8" s="169"/>
    </row>
    <row r="9" spans="1:7" ht="15" customHeight="1" x14ac:dyDescent="0.25">
      <c r="A9" s="168" t="s">
        <v>48</v>
      </c>
      <c r="B9" s="169"/>
      <c r="C9" s="169"/>
      <c r="D9" s="169"/>
      <c r="E9" s="169"/>
      <c r="F9" s="171"/>
      <c r="G9" s="169"/>
    </row>
    <row r="10" spans="1:7" ht="15" customHeight="1" x14ac:dyDescent="0.25">
      <c r="A10" s="172"/>
      <c r="B10" s="169" t="s">
        <v>209</v>
      </c>
      <c r="C10" s="169"/>
      <c r="D10" s="169"/>
      <c r="E10" s="169"/>
      <c r="F10" s="171"/>
      <c r="G10" s="169"/>
    </row>
    <row r="11" spans="1:7" ht="15" customHeight="1" x14ac:dyDescent="0.25">
      <c r="A11" s="168"/>
      <c r="C11" s="169" t="s">
        <v>210</v>
      </c>
      <c r="D11" s="169"/>
      <c r="E11" s="173">
        <f>85830842.16+'Detailed SCI'!E15</f>
        <v>85848675.489999995</v>
      </c>
      <c r="F11" s="174">
        <v>77765414.599999994</v>
      </c>
      <c r="G11" s="175">
        <f>E11-F11</f>
        <v>8083260.8900000006</v>
      </c>
    </row>
    <row r="12" spans="1:7" ht="15" customHeight="1" x14ac:dyDescent="0.25">
      <c r="A12" s="168"/>
      <c r="B12" s="169" t="s">
        <v>62</v>
      </c>
      <c r="C12" s="169"/>
      <c r="D12" s="169"/>
      <c r="E12" s="173"/>
      <c r="F12" s="174"/>
      <c r="G12" s="175"/>
    </row>
    <row r="13" spans="1:7" ht="15" customHeight="1" x14ac:dyDescent="0.25">
      <c r="A13" s="168"/>
      <c r="C13" s="169" t="s">
        <v>238</v>
      </c>
      <c r="D13" s="169"/>
      <c r="E13" s="175">
        <f>1199150.19+6926040.23+4138553.6</f>
        <v>12263744.02</v>
      </c>
      <c r="F13" s="176">
        <v>3395149.83</v>
      </c>
      <c r="G13" s="175">
        <f>E13-F13</f>
        <v>8868594.1899999995</v>
      </c>
    </row>
    <row r="14" spans="1:7" ht="15" customHeight="1" x14ac:dyDescent="0.25">
      <c r="A14" s="168"/>
      <c r="B14" s="161" t="s">
        <v>217</v>
      </c>
      <c r="C14" s="169"/>
      <c r="D14" s="169"/>
      <c r="E14" s="175"/>
      <c r="F14" s="176"/>
      <c r="G14" s="177"/>
    </row>
    <row r="15" spans="1:7" ht="15" customHeight="1" x14ac:dyDescent="0.25">
      <c r="A15" s="168"/>
      <c r="C15" s="169" t="s">
        <v>218</v>
      </c>
      <c r="D15" s="178">
        <v>24</v>
      </c>
      <c r="E15" s="175">
        <v>1791265.82</v>
      </c>
      <c r="F15" s="89">
        <v>0</v>
      </c>
      <c r="G15" s="175">
        <f>E15-F15</f>
        <v>1791265.82</v>
      </c>
    </row>
    <row r="16" spans="1:7" ht="15" customHeight="1" x14ac:dyDescent="0.25">
      <c r="A16" s="168"/>
      <c r="B16" s="169" t="s">
        <v>211</v>
      </c>
      <c r="C16" s="169"/>
      <c r="D16" s="169"/>
      <c r="E16" s="175"/>
      <c r="F16" s="180"/>
      <c r="G16" s="177"/>
    </row>
    <row r="17" spans="1:8" ht="15" customHeight="1" x14ac:dyDescent="0.25">
      <c r="A17" s="168"/>
      <c r="B17" s="169"/>
      <c r="C17" s="169" t="s">
        <v>234</v>
      </c>
      <c r="D17" s="169"/>
      <c r="E17" s="175">
        <v>0</v>
      </c>
      <c r="F17" s="180">
        <v>0</v>
      </c>
      <c r="G17" s="175">
        <f>E17-F17</f>
        <v>0</v>
      </c>
    </row>
    <row r="18" spans="1:8" ht="15" customHeight="1" x14ac:dyDescent="0.25">
      <c r="A18" s="231"/>
      <c r="B18" s="232" t="s">
        <v>49</v>
      </c>
      <c r="C18" s="232"/>
      <c r="D18" s="232"/>
      <c r="E18" s="233">
        <f>SUM(E11:E17)</f>
        <v>99903685.329999983</v>
      </c>
      <c r="F18" s="233">
        <f>SUM(F11:F17)</f>
        <v>81160564.429999992</v>
      </c>
      <c r="G18" s="233">
        <f>SUM(G11:G17)</f>
        <v>18743120.899999999</v>
      </c>
    </row>
    <row r="19" spans="1:8" ht="15" customHeight="1" x14ac:dyDescent="0.25">
      <c r="A19" s="168" t="s">
        <v>50</v>
      </c>
      <c r="B19" s="169"/>
      <c r="C19" s="169"/>
      <c r="D19" s="169"/>
      <c r="E19" s="177"/>
      <c r="F19" s="186"/>
      <c r="G19" s="177"/>
    </row>
    <row r="20" spans="1:8" ht="15" customHeight="1" x14ac:dyDescent="0.25">
      <c r="A20" s="172"/>
      <c r="B20" s="169" t="s">
        <v>212</v>
      </c>
      <c r="C20" s="169"/>
      <c r="D20" s="169"/>
      <c r="E20" s="177"/>
      <c r="F20" s="187"/>
      <c r="G20" s="177"/>
    </row>
    <row r="21" spans="1:8" ht="15" customHeight="1" x14ac:dyDescent="0.25">
      <c r="A21" s="172"/>
      <c r="B21" s="169"/>
      <c r="C21" s="169" t="s">
        <v>219</v>
      </c>
      <c r="D21" s="169"/>
      <c r="E21" s="177">
        <f>'Detailed SCI'!E49-'Detailed SCI'!E32-'Detailed SCI'!E34-'Detailed SCI'!E33</f>
        <v>12744659.33</v>
      </c>
      <c r="F21" s="187">
        <v>14274161.35</v>
      </c>
      <c r="G21" s="177">
        <f>E21-F21</f>
        <v>-1529502.0199999996</v>
      </c>
    </row>
    <row r="22" spans="1:8" ht="15" customHeight="1" x14ac:dyDescent="0.25">
      <c r="A22" s="172"/>
      <c r="B22" s="169"/>
      <c r="C22" s="169" t="s">
        <v>220</v>
      </c>
      <c r="D22" s="169"/>
      <c r="E22" s="177">
        <f>'Detailed SCI'!E89</f>
        <v>3084260.17</v>
      </c>
      <c r="F22" s="177">
        <v>2807451.79</v>
      </c>
      <c r="G22" s="177">
        <f>E22-F22</f>
        <v>276808.37999999989</v>
      </c>
      <c r="H22" s="188"/>
    </row>
    <row r="23" spans="1:8" ht="15" customHeight="1" x14ac:dyDescent="0.25">
      <c r="A23" s="172"/>
      <c r="B23" s="169" t="s">
        <v>222</v>
      </c>
      <c r="C23" s="169"/>
      <c r="D23" s="169"/>
      <c r="E23" s="177"/>
      <c r="F23" s="187"/>
      <c r="G23" s="177"/>
      <c r="H23" s="188"/>
    </row>
    <row r="24" spans="1:8" ht="15" customHeight="1" x14ac:dyDescent="0.25">
      <c r="A24" s="172"/>
      <c r="B24" s="169"/>
      <c r="C24" s="169" t="s">
        <v>221</v>
      </c>
      <c r="D24" s="169"/>
      <c r="E24" s="177">
        <f>46805.25+31284.52-99.52+156561.89+31310+31078+115145.8</f>
        <v>412085.94</v>
      </c>
      <c r="F24" s="253">
        <v>310582.59999999998</v>
      </c>
      <c r="G24" s="177">
        <f>E24-F24</f>
        <v>101503.34000000003</v>
      </c>
    </row>
    <row r="25" spans="1:8" ht="15" customHeight="1" x14ac:dyDescent="0.25">
      <c r="A25" s="172"/>
      <c r="B25" s="169" t="s">
        <v>226</v>
      </c>
      <c r="D25" s="169"/>
      <c r="E25" s="186">
        <f>4325973.95-'Detailed SFP'!F11-'Detailed SFP'!F12</f>
        <v>4266718.05</v>
      </c>
      <c r="F25" s="254">
        <v>2631657.21</v>
      </c>
      <c r="G25" s="177">
        <f>E25-F25</f>
        <v>1635060.8399999999</v>
      </c>
      <c r="H25" s="216"/>
    </row>
    <row r="26" spans="1:8" ht="31.2" customHeight="1" x14ac:dyDescent="0.25">
      <c r="A26" s="172"/>
      <c r="B26" s="284" t="s">
        <v>214</v>
      </c>
      <c r="C26" s="284"/>
      <c r="D26" s="189"/>
      <c r="E26" s="177"/>
      <c r="F26" s="187"/>
      <c r="G26" s="177"/>
    </row>
    <row r="27" spans="1:8" ht="15" customHeight="1" x14ac:dyDescent="0.25">
      <c r="A27" s="172"/>
      <c r="B27" s="169"/>
      <c r="C27" s="190" t="s">
        <v>223</v>
      </c>
      <c r="D27" s="190"/>
      <c r="E27" s="191">
        <f>681275.81+695991.43+534584.67</f>
        <v>1911851.9100000001</v>
      </c>
      <c r="F27" s="192">
        <v>2101367.65</v>
      </c>
      <c r="G27" s="177">
        <f t="shared" ref="G27:G31" si="0">E27-F27</f>
        <v>-189515.73999999976</v>
      </c>
    </row>
    <row r="28" spans="1:8" ht="15" customHeight="1" x14ac:dyDescent="0.25">
      <c r="A28" s="172"/>
      <c r="B28" s="169"/>
      <c r="C28" s="190" t="s">
        <v>224</v>
      </c>
      <c r="D28" s="190"/>
      <c r="E28" s="191">
        <f>-(-'Detailed SCI'!E44)</f>
        <v>1402408.57</v>
      </c>
      <c r="F28" s="192">
        <v>419546.18</v>
      </c>
      <c r="G28" s="177">
        <f t="shared" si="0"/>
        <v>982862.39000000013</v>
      </c>
    </row>
    <row r="29" spans="1:8" ht="15" customHeight="1" x14ac:dyDescent="0.25">
      <c r="A29" s="168"/>
      <c r="B29" s="169" t="s">
        <v>211</v>
      </c>
      <c r="C29" s="169"/>
      <c r="D29" s="169"/>
      <c r="F29" s="161"/>
    </row>
    <row r="30" spans="1:8" ht="15" customHeight="1" x14ac:dyDescent="0.25">
      <c r="A30" s="168"/>
      <c r="C30" s="169" t="s">
        <v>213</v>
      </c>
      <c r="D30" s="169"/>
      <c r="E30" s="177">
        <v>60000000</v>
      </c>
      <c r="F30" s="187">
        <v>40000000</v>
      </c>
      <c r="G30" s="177">
        <f t="shared" si="0"/>
        <v>20000000</v>
      </c>
    </row>
    <row r="31" spans="1:8" ht="15" customHeight="1" x14ac:dyDescent="0.25">
      <c r="A31" s="168"/>
      <c r="C31" s="169" t="s">
        <v>253</v>
      </c>
      <c r="D31" s="169"/>
      <c r="E31" s="177">
        <v>0</v>
      </c>
      <c r="F31" s="187">
        <v>0</v>
      </c>
      <c r="G31" s="177">
        <f t="shared" si="0"/>
        <v>0</v>
      </c>
    </row>
    <row r="32" spans="1:8" ht="15" customHeight="1" x14ac:dyDescent="0.25">
      <c r="A32" s="228"/>
      <c r="B32" s="285" t="s">
        <v>51</v>
      </c>
      <c r="C32" s="286"/>
      <c r="D32" s="229"/>
      <c r="E32" s="230">
        <f>SUM(E21:E31)</f>
        <v>83821983.969999999</v>
      </c>
      <c r="F32" s="230">
        <f t="shared" ref="F32:G32" si="1">SUM(F21:F31)</f>
        <v>62544766.780000001</v>
      </c>
      <c r="G32" s="230">
        <f t="shared" si="1"/>
        <v>21277217.190000001</v>
      </c>
    </row>
    <row r="33" spans="1:8" ht="15" customHeight="1" x14ac:dyDescent="0.25">
      <c r="A33" s="287"/>
      <c r="B33" s="287"/>
      <c r="C33" s="287"/>
      <c r="D33" s="195"/>
      <c r="E33" s="196"/>
      <c r="F33" s="197"/>
      <c r="G33" s="196"/>
    </row>
    <row r="34" spans="1:8" ht="15" customHeight="1" x14ac:dyDescent="0.25">
      <c r="A34" s="280" t="s">
        <v>52</v>
      </c>
      <c r="B34" s="279"/>
      <c r="C34" s="279"/>
      <c r="E34" s="194">
        <f>E18-E32</f>
        <v>16081701.359999985</v>
      </c>
      <c r="F34" s="194">
        <f>F18-F32</f>
        <v>18615797.649999991</v>
      </c>
      <c r="G34" s="194">
        <f>G18+G32</f>
        <v>40020338.090000004</v>
      </c>
    </row>
    <row r="35" spans="1:8" ht="15" customHeight="1" x14ac:dyDescent="0.25">
      <c r="A35" s="287"/>
      <c r="B35" s="287"/>
      <c r="C35" s="287"/>
      <c r="D35" s="195"/>
      <c r="E35" s="196"/>
      <c r="F35" s="197"/>
      <c r="G35" s="196"/>
    </row>
    <row r="36" spans="1:8" ht="15" customHeight="1" x14ac:dyDescent="0.25">
      <c r="A36" s="168" t="s">
        <v>53</v>
      </c>
      <c r="B36" s="169"/>
      <c r="C36" s="169"/>
      <c r="D36" s="169"/>
      <c r="E36" s="177"/>
      <c r="F36" s="186"/>
      <c r="G36" s="177"/>
    </row>
    <row r="37" spans="1:8" ht="15" customHeight="1" x14ac:dyDescent="0.25">
      <c r="A37" s="280" t="s">
        <v>48</v>
      </c>
      <c r="B37" s="280"/>
      <c r="C37" s="280"/>
      <c r="D37" s="198"/>
      <c r="E37" s="177"/>
      <c r="F37" s="186"/>
      <c r="G37" s="191"/>
    </row>
    <row r="38" spans="1:8" ht="15" customHeight="1" x14ac:dyDescent="0.25">
      <c r="A38" s="198"/>
      <c r="B38" s="282" t="s">
        <v>215</v>
      </c>
      <c r="C38" s="279"/>
      <c r="E38" s="175">
        <f>'Detailed SCI'!E14</f>
        <v>72361.740000000005</v>
      </c>
      <c r="F38" s="175">
        <f>'Detailed SCI'!F14</f>
        <v>74607.97</v>
      </c>
      <c r="G38" s="191">
        <f>E38-F38</f>
        <v>-2246.2299999999959</v>
      </c>
    </row>
    <row r="39" spans="1:8" ht="15" customHeight="1" x14ac:dyDescent="0.25">
      <c r="A39" s="277" t="s">
        <v>50</v>
      </c>
      <c r="B39" s="277"/>
      <c r="C39" s="277"/>
      <c r="D39" s="199"/>
      <c r="E39" s="177"/>
      <c r="F39" s="187"/>
      <c r="G39" s="191"/>
    </row>
    <row r="40" spans="1:8" ht="15" customHeight="1" x14ac:dyDescent="0.25">
      <c r="A40" s="199"/>
      <c r="B40" s="277" t="s">
        <v>229</v>
      </c>
      <c r="C40" s="277"/>
      <c r="D40" s="199"/>
      <c r="E40" s="177"/>
      <c r="F40" s="187"/>
      <c r="G40" s="191"/>
    </row>
    <row r="41" spans="1:8" ht="15" customHeight="1" x14ac:dyDescent="0.25">
      <c r="A41" s="198"/>
      <c r="C41" s="190" t="s">
        <v>230</v>
      </c>
      <c r="D41" s="190"/>
      <c r="E41" s="175">
        <v>1666743.16</v>
      </c>
      <c r="F41" s="180">
        <v>0</v>
      </c>
      <c r="G41" s="191">
        <f>E41-F41</f>
        <v>1666743.16</v>
      </c>
      <c r="H41" s="245"/>
    </row>
    <row r="42" spans="1:8" ht="15" customHeight="1" x14ac:dyDescent="0.25">
      <c r="A42" s="198"/>
      <c r="B42" s="277" t="s">
        <v>216</v>
      </c>
      <c r="C42" s="277"/>
      <c r="D42" s="190"/>
      <c r="E42" s="175"/>
      <c r="F42" s="180"/>
      <c r="G42" s="179"/>
    </row>
    <row r="43" spans="1:8" ht="15" customHeight="1" x14ac:dyDescent="0.25">
      <c r="A43" s="198"/>
      <c r="C43" s="190" t="s">
        <v>225</v>
      </c>
      <c r="D43" s="190"/>
      <c r="E43" s="175">
        <v>611702.68000000005</v>
      </c>
      <c r="F43" s="180">
        <v>0</v>
      </c>
      <c r="G43" s="179">
        <f>E43-F43</f>
        <v>611702.68000000005</v>
      </c>
    </row>
    <row r="44" spans="1:8" ht="15" customHeight="1" x14ac:dyDescent="0.25">
      <c r="A44" s="198"/>
      <c r="C44" s="190" t="s">
        <v>227</v>
      </c>
      <c r="D44" s="190"/>
      <c r="E44" s="175">
        <v>115000</v>
      </c>
      <c r="F44" s="200">
        <v>0</v>
      </c>
      <c r="G44" s="191">
        <f>E44-F44</f>
        <v>115000</v>
      </c>
    </row>
    <row r="45" spans="1:8" ht="15" customHeight="1" x14ac:dyDescent="0.25">
      <c r="A45" s="198"/>
      <c r="C45" s="190" t="s">
        <v>231</v>
      </c>
      <c r="D45" s="190"/>
      <c r="E45" s="175">
        <v>0</v>
      </c>
      <c r="F45" s="200">
        <v>0</v>
      </c>
      <c r="G45" s="179">
        <f t="shared" ref="G45:G46" si="2">E45-F45</f>
        <v>0</v>
      </c>
    </row>
    <row r="46" spans="1:8" ht="15" customHeight="1" x14ac:dyDescent="0.25">
      <c r="A46" s="201"/>
      <c r="B46" s="181"/>
      <c r="C46" s="202" t="s">
        <v>228</v>
      </c>
      <c r="D46" s="202"/>
      <c r="E46" s="182">
        <v>0</v>
      </c>
      <c r="F46" s="203">
        <v>0</v>
      </c>
      <c r="G46" s="204">
        <f t="shared" si="2"/>
        <v>0</v>
      </c>
    </row>
    <row r="47" spans="1:8" ht="15" customHeight="1" x14ac:dyDescent="0.25">
      <c r="A47" s="201"/>
      <c r="B47" s="184" t="s">
        <v>51</v>
      </c>
      <c r="C47" s="201"/>
      <c r="D47" s="201"/>
      <c r="E47" s="185">
        <f>SUM(E41:E46)</f>
        <v>2393445.84</v>
      </c>
      <c r="F47" s="185">
        <f>SUM(F41:F46)</f>
        <v>0</v>
      </c>
      <c r="G47" s="185">
        <f>SUM(G41:G46)</f>
        <v>2393445.84</v>
      </c>
    </row>
    <row r="48" spans="1:8" ht="15" customHeight="1" x14ac:dyDescent="0.25">
      <c r="B48" s="172"/>
      <c r="C48" s="172"/>
      <c r="D48" s="172"/>
      <c r="E48" s="191"/>
      <c r="F48" s="205"/>
      <c r="G48" s="191"/>
    </row>
    <row r="49" spans="1:7" ht="15" customHeight="1" x14ac:dyDescent="0.25">
      <c r="A49" s="288" t="s">
        <v>54</v>
      </c>
      <c r="B49" s="289"/>
      <c r="C49" s="289"/>
      <c r="D49" s="181"/>
      <c r="E49" s="185">
        <f>E38-E47</f>
        <v>-2321084.0999999996</v>
      </c>
      <c r="F49" s="185">
        <f>F38-F47</f>
        <v>74607.97</v>
      </c>
      <c r="G49" s="185">
        <f>G38+G47</f>
        <v>2391199.61</v>
      </c>
    </row>
    <row r="50" spans="1:7" ht="15" customHeight="1" x14ac:dyDescent="0.25">
      <c r="B50" s="282"/>
      <c r="C50" s="282"/>
      <c r="D50" s="206"/>
      <c r="E50" s="191"/>
      <c r="F50" s="205"/>
      <c r="G50" s="191"/>
    </row>
    <row r="51" spans="1:7" ht="15" customHeight="1" x14ac:dyDescent="0.25">
      <c r="A51" s="168" t="s">
        <v>55</v>
      </c>
      <c r="B51" s="169"/>
      <c r="C51" s="169"/>
      <c r="D51" s="169"/>
      <c r="E51" s="177"/>
      <c r="F51" s="186"/>
      <c r="G51" s="177"/>
    </row>
    <row r="52" spans="1:7" ht="15" customHeight="1" x14ac:dyDescent="0.25">
      <c r="A52" s="277" t="s">
        <v>50</v>
      </c>
      <c r="B52" s="277"/>
      <c r="C52" s="277"/>
      <c r="D52" s="199"/>
      <c r="E52" s="177"/>
      <c r="F52" s="186"/>
      <c r="G52" s="191"/>
    </row>
    <row r="53" spans="1:7" ht="15" customHeight="1" x14ac:dyDescent="0.25">
      <c r="A53" s="207"/>
      <c r="B53" s="208" t="s">
        <v>63</v>
      </c>
      <c r="C53" s="201"/>
      <c r="D53" s="201"/>
      <c r="E53" s="182">
        <v>0</v>
      </c>
      <c r="F53" s="193">
        <v>0</v>
      </c>
      <c r="G53" s="183">
        <f>E53-F53</f>
        <v>0</v>
      </c>
    </row>
    <row r="54" spans="1:7" ht="15" customHeight="1" x14ac:dyDescent="0.25">
      <c r="B54" s="172"/>
      <c r="C54" s="172"/>
      <c r="D54" s="172"/>
      <c r="E54" s="191"/>
      <c r="F54" s="205"/>
      <c r="G54" s="191"/>
    </row>
    <row r="55" spans="1:7" ht="15" customHeight="1" x14ac:dyDescent="0.25">
      <c r="A55" s="288" t="s">
        <v>56</v>
      </c>
      <c r="B55" s="289"/>
      <c r="C55" s="289"/>
      <c r="D55" s="181"/>
      <c r="E55" s="185">
        <f>-E53</f>
        <v>0</v>
      </c>
      <c r="F55" s="185">
        <f>-F53</f>
        <v>0</v>
      </c>
      <c r="G55" s="185">
        <f t="shared" ref="G55" si="3">G53</f>
        <v>0</v>
      </c>
    </row>
    <row r="56" spans="1:7" ht="15" customHeight="1" x14ac:dyDescent="0.25">
      <c r="A56" s="198"/>
      <c r="E56" s="209"/>
      <c r="F56" s="210"/>
      <c r="G56" s="209"/>
    </row>
    <row r="57" spans="1:7" ht="15" customHeight="1" x14ac:dyDescent="0.25">
      <c r="A57" s="280" t="s">
        <v>57</v>
      </c>
      <c r="B57" s="279"/>
      <c r="C57" s="279"/>
      <c r="E57" s="210">
        <f>E34+E49+E55</f>
        <v>13760617.259999985</v>
      </c>
      <c r="F57" s="210">
        <f>F34+F49+F55</f>
        <v>18690405.61999999</v>
      </c>
      <c r="G57" s="209">
        <f>G34+G49+G55</f>
        <v>42411537.700000003</v>
      </c>
    </row>
    <row r="58" spans="1:7" ht="15" customHeight="1" x14ac:dyDescent="0.25">
      <c r="A58" s="198"/>
      <c r="E58" s="209"/>
      <c r="F58" s="210"/>
      <c r="G58" s="209"/>
    </row>
    <row r="59" spans="1:7" ht="15" customHeight="1" x14ac:dyDescent="0.25">
      <c r="A59" s="288" t="s">
        <v>58</v>
      </c>
      <c r="B59" s="289"/>
      <c r="C59" s="289"/>
      <c r="D59" s="181"/>
      <c r="E59" s="211">
        <v>8560466.7599999998</v>
      </c>
      <c r="F59" s="212">
        <v>24414311.690000001</v>
      </c>
      <c r="G59" s="211">
        <f>E59-F59</f>
        <v>-15853844.930000002</v>
      </c>
    </row>
    <row r="60" spans="1:7" ht="15" customHeight="1" x14ac:dyDescent="0.25">
      <c r="A60" s="198"/>
      <c r="E60" s="209"/>
      <c r="F60" s="210"/>
      <c r="G60" s="209"/>
    </row>
    <row r="61" spans="1:7" ht="15" customHeight="1" thickBot="1" x14ac:dyDescent="0.3">
      <c r="A61" s="290" t="s">
        <v>59</v>
      </c>
      <c r="B61" s="291"/>
      <c r="C61" s="291"/>
      <c r="D61" s="213"/>
      <c r="E61" s="214">
        <f>E57+E59</f>
        <v>22321084.019999985</v>
      </c>
      <c r="F61" s="215">
        <f>F57+F59</f>
        <v>43104717.309999987</v>
      </c>
      <c r="G61" s="214">
        <f>E61-F61</f>
        <v>-20783633.290000003</v>
      </c>
    </row>
    <row r="62" spans="1:7" ht="15" customHeight="1" thickTop="1" x14ac:dyDescent="0.25">
      <c r="E62" s="216">
        <f>E61-'Detailed SFP'!F14-'Detailed SFP'!F12-'Detailed SFP'!F11</f>
        <v>-1.2667442206293344E-8</v>
      </c>
      <c r="F62" s="216">
        <f>F61-'Detailed SFP'!G16</f>
        <v>0</v>
      </c>
      <c r="G62" s="216">
        <f>E61-F61-G61</f>
        <v>0</v>
      </c>
    </row>
    <row r="63" spans="1:7" s="217" customFormat="1" ht="15" customHeight="1" x14ac:dyDescent="0.25">
      <c r="F63" s="218"/>
    </row>
    <row r="64" spans="1:7" s="217" customFormat="1" ht="15" customHeight="1" x14ac:dyDescent="0.25">
      <c r="F64" s="219"/>
    </row>
    <row r="65" spans="1:7" s="217" customFormat="1" ht="15" customHeight="1" x14ac:dyDescent="0.25">
      <c r="F65" s="219"/>
    </row>
    <row r="66" spans="1:7" s="217" customFormat="1" ht="15" customHeight="1" x14ac:dyDescent="0.25">
      <c r="A66" s="220"/>
      <c r="F66" s="219"/>
    </row>
    <row r="67" spans="1:7" s="217" customFormat="1" ht="15" customHeight="1" x14ac:dyDescent="0.3">
      <c r="A67" s="221"/>
      <c r="F67" s="219"/>
    </row>
    <row r="68" spans="1:7" ht="15" customHeight="1" x14ac:dyDescent="0.25">
      <c r="E68" s="222"/>
      <c r="F68" s="223"/>
      <c r="G68" s="222"/>
    </row>
    <row r="69" spans="1:7" ht="15" customHeight="1" x14ac:dyDescent="0.25">
      <c r="E69" s="188"/>
      <c r="F69" s="223"/>
      <c r="G69" s="188"/>
    </row>
    <row r="70" spans="1:7" ht="15" customHeight="1" x14ac:dyDescent="0.25">
      <c r="F70" s="223"/>
    </row>
    <row r="71" spans="1:7" ht="15" customHeight="1" x14ac:dyDescent="0.25">
      <c r="F71" s="223"/>
    </row>
    <row r="72" spans="1:7" ht="15" customHeight="1" x14ac:dyDescent="0.25">
      <c r="F72" s="223"/>
    </row>
    <row r="73" spans="1:7" ht="15" customHeight="1" x14ac:dyDescent="0.25">
      <c r="F73" s="223"/>
    </row>
    <row r="74" spans="1:7" ht="15" customHeight="1" x14ac:dyDescent="0.25">
      <c r="F74" s="223"/>
    </row>
    <row r="75" spans="1:7" ht="15" customHeight="1" x14ac:dyDescent="0.25">
      <c r="F75" s="223"/>
    </row>
    <row r="76" spans="1:7" ht="15" customHeight="1" x14ac:dyDescent="0.25">
      <c r="F76" s="223"/>
    </row>
    <row r="77" spans="1:7" ht="15" customHeight="1" x14ac:dyDescent="0.25">
      <c r="F77" s="223"/>
    </row>
    <row r="78" spans="1:7" ht="15" customHeight="1" x14ac:dyDescent="0.25">
      <c r="F78" s="223"/>
    </row>
    <row r="79" spans="1:7" ht="15" customHeight="1" x14ac:dyDescent="0.25">
      <c r="F79" s="223"/>
    </row>
    <row r="80" spans="1:7" ht="15" customHeight="1" x14ac:dyDescent="0.25">
      <c r="F80" s="223"/>
    </row>
    <row r="81" spans="6:6" ht="15" customHeight="1" x14ac:dyDescent="0.25">
      <c r="F81" s="223"/>
    </row>
    <row r="82" spans="6:6" ht="15" customHeight="1" x14ac:dyDescent="0.25">
      <c r="F82" s="223"/>
    </row>
    <row r="83" spans="6:6" ht="15" customHeight="1" x14ac:dyDescent="0.25">
      <c r="F83" s="223"/>
    </row>
  </sheetData>
  <mergeCells count="24">
    <mergeCell ref="A52:C52"/>
    <mergeCell ref="A55:C55"/>
    <mergeCell ref="A57:C57"/>
    <mergeCell ref="A59:C59"/>
    <mergeCell ref="A61:C61"/>
    <mergeCell ref="B50:C50"/>
    <mergeCell ref="A7:C7"/>
    <mergeCell ref="B26:C26"/>
    <mergeCell ref="B32:C32"/>
    <mergeCell ref="A33:C33"/>
    <mergeCell ref="A34:C34"/>
    <mergeCell ref="A35:C35"/>
    <mergeCell ref="A37:C37"/>
    <mergeCell ref="B38:C38"/>
    <mergeCell ref="A39:C39"/>
    <mergeCell ref="B40:C40"/>
    <mergeCell ref="A49:C49"/>
    <mergeCell ref="B42:C42"/>
    <mergeCell ref="A6:C6"/>
    <mergeCell ref="A1:C1"/>
    <mergeCell ref="A2:C2"/>
    <mergeCell ref="A3:C3"/>
    <mergeCell ref="A4:C4"/>
    <mergeCell ref="A5:C5"/>
  </mergeCells>
  <printOptions horizontalCentered="1"/>
  <pageMargins left="0.11811023622047245" right="0.11811023622047245" top="0.35433070866141736" bottom="0.35433070866141736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12</vt:i4>
      </vt:variant>
    </vt:vector>
  </HeadingPairs>
  <TitlesOfParts>
    <vt:vector size="19" baseType="lpstr">
      <vt:lpstr>SFP</vt:lpstr>
      <vt:lpstr>Detailed SFP</vt:lpstr>
      <vt:lpstr>SCI</vt:lpstr>
      <vt:lpstr>Detailed SCI</vt:lpstr>
      <vt:lpstr>SCE</vt:lpstr>
      <vt:lpstr>SCF</vt:lpstr>
      <vt:lpstr>Detailed SCF</vt:lpstr>
      <vt:lpstr>'Detailed SCF'!Print_Area</vt:lpstr>
      <vt:lpstr>'Detailed SCI'!Print_Area</vt:lpstr>
      <vt:lpstr>'Detailed SFP'!Print_Area</vt:lpstr>
      <vt:lpstr>SCE!Print_Area</vt:lpstr>
      <vt:lpstr>SCF!Print_Area</vt:lpstr>
      <vt:lpstr>SCI!Print_Area</vt:lpstr>
      <vt:lpstr>SFP!Print_Area</vt:lpstr>
      <vt:lpstr>'Detailed SCF'!Print_Titles</vt:lpstr>
      <vt:lpstr>'Detailed SCI'!Print_Titles</vt:lpstr>
      <vt:lpstr>'Detailed SFP'!Print_Titles</vt:lpstr>
      <vt:lpstr>SCE!Print_Titles</vt:lpstr>
      <vt:lpstr>SCF!Print_Titles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Lenima B. Judan</dc:creator>
  <cp:lastModifiedBy>Inigo Balagot</cp:lastModifiedBy>
  <cp:lastPrinted>2024-03-13T01:38:41Z</cp:lastPrinted>
  <dcterms:created xsi:type="dcterms:W3CDTF">2019-06-25T06:40:23Z</dcterms:created>
  <dcterms:modified xsi:type="dcterms:W3CDTF">2024-07-05T06:38:55Z</dcterms:modified>
</cp:coreProperties>
</file>