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MC 03\Documents\CY 2024 FILES\FS 2024\"/>
    </mc:Choice>
  </mc:AlternateContent>
  <xr:revisionPtr revIDLastSave="0" documentId="13_ncr:1_{C62A70BD-FF53-4377-BAE9-91478ADA522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FP" sheetId="73" r:id="rId1"/>
    <sheet name="Detailed SFP" sheetId="76" r:id="rId2"/>
    <sheet name="SCI" sheetId="74" r:id="rId3"/>
    <sheet name="Detailed SCI" sheetId="77" r:id="rId4"/>
    <sheet name="SCE" sheetId="75" r:id="rId5"/>
    <sheet name="SCF" sheetId="79" r:id="rId6"/>
    <sheet name="Detailed SCF" sheetId="81" r:id="rId7"/>
  </sheets>
  <definedNames>
    <definedName name="_xlnm.Print_Area" localSheetId="6">'Detailed SCF'!$A$1:$F$67</definedName>
    <definedName name="_xlnm.Print_Area" localSheetId="3">'Detailed SCI'!$A$1:$G$123</definedName>
    <definedName name="_xlnm.Print_Area" localSheetId="1">'Detailed SFP'!$A$1:$H$176</definedName>
    <definedName name="_xlnm.Print_Area" localSheetId="4">SCE!$A$1:$G$39</definedName>
    <definedName name="_xlnm.Print_Area" localSheetId="5">SCF!$A$1:$F$51</definedName>
    <definedName name="_xlnm.Print_Area" localSheetId="2">SCI!$A$1:$G$29</definedName>
    <definedName name="_xlnm.Print_Area" localSheetId="0">SFP!$A$1:$H$59</definedName>
    <definedName name="_xlnm.Print_Titles" localSheetId="6">'Detailed SCF'!$6:$6</definedName>
    <definedName name="_xlnm.Print_Titles" localSheetId="3">'Detailed SCI'!$6:$6</definedName>
    <definedName name="_xlnm.Print_Titles" localSheetId="1">'Detailed SFP'!$6:$6</definedName>
    <definedName name="_xlnm.Print_Titles" localSheetId="4">SCE!$6:$6</definedName>
    <definedName name="_xlnm.Print_Titles" localSheetId="5">SCF!$6:$6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81" l="1"/>
  <c r="D43" i="81"/>
  <c r="D27" i="81" l="1"/>
  <c r="D24" i="81" l="1"/>
  <c r="D11" i="81"/>
  <c r="E24" i="75"/>
  <c r="E104" i="77"/>
  <c r="E70" i="77"/>
  <c r="E97" i="77"/>
  <c r="E93" i="77"/>
  <c r="E54" i="77"/>
  <c r="F164" i="76"/>
  <c r="F125" i="76"/>
  <c r="F123" i="76"/>
  <c r="F122" i="76"/>
  <c r="F117" i="76"/>
  <c r="F14" i="76"/>
  <c r="E20" i="79" l="1"/>
  <c r="G64" i="77" l="1"/>
  <c r="G94" i="77"/>
  <c r="G96" i="77" l="1"/>
  <c r="G92" i="77"/>
  <c r="E88" i="77"/>
  <c r="G88" i="77" s="1"/>
  <c r="G75" i="77"/>
  <c r="G66" i="77"/>
  <c r="G60" i="77"/>
  <c r="G59" i="77"/>
  <c r="H22" i="73"/>
  <c r="H103" i="76" l="1"/>
  <c r="H45" i="76" l="1"/>
  <c r="D44" i="81"/>
  <c r="F48" i="77" l="1"/>
  <c r="E48" i="77"/>
  <c r="G46" i="77"/>
  <c r="H23" i="73"/>
  <c r="H106" i="76"/>
  <c r="D13" i="81" l="1"/>
  <c r="E83" i="77" l="1"/>
  <c r="G40" i="73"/>
  <c r="F52" i="76"/>
  <c r="G52" i="76"/>
  <c r="G100" i="76"/>
  <c r="G15" i="76" l="1"/>
  <c r="F15" i="76"/>
  <c r="G82" i="77"/>
  <c r="D38" i="81" l="1"/>
  <c r="G54" i="77" l="1"/>
  <c r="G63" i="77" l="1"/>
  <c r="H69" i="76"/>
  <c r="G70" i="76"/>
  <c r="F70" i="76"/>
  <c r="F107" i="77"/>
  <c r="H42" i="76"/>
  <c r="E32" i="81" l="1"/>
  <c r="E18" i="81"/>
  <c r="F19" i="77"/>
  <c r="E19" i="77"/>
  <c r="G17" i="77"/>
  <c r="G15" i="77"/>
  <c r="G14" i="77"/>
  <c r="F44" i="81" l="1"/>
  <c r="F41" i="81"/>
  <c r="F31" i="81"/>
  <c r="F30" i="81"/>
  <c r="F27" i="81"/>
  <c r="F25" i="81"/>
  <c r="F24" i="81"/>
  <c r="F17" i="81"/>
  <c r="F15" i="81"/>
  <c r="F13" i="81"/>
  <c r="E39" i="79"/>
  <c r="D30" i="79"/>
  <c r="D29" i="79"/>
  <c r="D55" i="81"/>
  <c r="D47" i="81"/>
  <c r="H12" i="76" l="1"/>
  <c r="G77" i="77"/>
  <c r="E107" i="77"/>
  <c r="D49" i="81" l="1"/>
  <c r="D27" i="79"/>
  <c r="E55" i="81"/>
  <c r="E34" i="81"/>
  <c r="G43" i="77" l="1"/>
  <c r="F44" i="77"/>
  <c r="E44" i="77"/>
  <c r="D28" i="81" s="1"/>
  <c r="F28" i="81" s="1"/>
  <c r="G33" i="73" l="1"/>
  <c r="F11" i="81" l="1"/>
  <c r="F18" i="81" s="1"/>
  <c r="D18" i="81"/>
  <c r="F33" i="73"/>
  <c r="H33" i="73" s="1"/>
  <c r="H131" i="76" l="1"/>
  <c r="H14" i="76" l="1"/>
  <c r="H11" i="76"/>
  <c r="H15" i="76" l="1"/>
  <c r="G35" i="77"/>
  <c r="D20" i="79" l="1"/>
  <c r="E13" i="79"/>
  <c r="D13" i="79"/>
  <c r="D37" i="79" l="1"/>
  <c r="F37" i="79" l="1"/>
  <c r="D39" i="79"/>
  <c r="G62" i="77" l="1"/>
  <c r="G61" i="77"/>
  <c r="G30" i="77"/>
  <c r="F40" i="73"/>
  <c r="H40" i="73" s="1"/>
  <c r="H41" i="73" s="1"/>
  <c r="G38" i="76"/>
  <c r="G13" i="73" s="1"/>
  <c r="G119" i="76"/>
  <c r="F119" i="76"/>
  <c r="H118" i="76"/>
  <c r="H37" i="76"/>
  <c r="H36" i="76"/>
  <c r="F38" i="76"/>
  <c r="F13" i="73" s="1"/>
  <c r="H30" i="76"/>
  <c r="G31" i="76"/>
  <c r="F31" i="76"/>
  <c r="H25" i="76"/>
  <c r="H24" i="76"/>
  <c r="G31" i="73" l="1"/>
  <c r="F31" i="73"/>
  <c r="G54" i="76"/>
  <c r="E30" i="79"/>
  <c r="E29" i="79"/>
  <c r="F29" i="79" s="1"/>
  <c r="E38" i="81"/>
  <c r="F38" i="81" l="1"/>
  <c r="F54" i="76"/>
  <c r="E37" i="77"/>
  <c r="G32" i="77"/>
  <c r="G34" i="77"/>
  <c r="G33" i="77"/>
  <c r="G35" i="73"/>
  <c r="F35" i="73"/>
  <c r="F100" i="76"/>
  <c r="H99" i="76"/>
  <c r="H140" i="76"/>
  <c r="F13" i="79"/>
  <c r="F15" i="79"/>
  <c r="H35" i="73" l="1"/>
  <c r="D10" i="79"/>
  <c r="D43" i="79"/>
  <c r="D31" i="79"/>
  <c r="D33" i="79" s="1"/>
  <c r="D18" i="79"/>
  <c r="D17" i="79"/>
  <c r="D12" i="79"/>
  <c r="D11" i="79"/>
  <c r="E43" i="79"/>
  <c r="E18" i="79"/>
  <c r="E17" i="79"/>
  <c r="E12" i="79"/>
  <c r="E11" i="79"/>
  <c r="F43" i="79" l="1"/>
  <c r="F12" i="79"/>
  <c r="F11" i="79"/>
  <c r="F17" i="79"/>
  <c r="F18" i="79"/>
  <c r="D14" i="79"/>
  <c r="E10" i="79" l="1"/>
  <c r="F10" i="79" s="1"/>
  <c r="F14" i="79" s="1"/>
  <c r="E27" i="79"/>
  <c r="E99" i="77" l="1"/>
  <c r="G6" i="76"/>
  <c r="F7" i="74" s="1"/>
  <c r="F6" i="77" s="1"/>
  <c r="F6" i="75" s="1"/>
  <c r="E6" i="79" s="1"/>
  <c r="E6" i="81" s="1"/>
  <c r="F6" i="76"/>
  <c r="E7" i="74" s="1"/>
  <c r="E6" i="77" s="1"/>
  <c r="E6" i="75" s="1"/>
  <c r="D6" i="79" s="1"/>
  <c r="D6" i="81" s="1"/>
  <c r="D22" i="81" l="1"/>
  <c r="F22" i="81" s="1"/>
  <c r="F37" i="77"/>
  <c r="A4" i="76" l="1"/>
  <c r="F137" i="76" l="1"/>
  <c r="F20" i="74" l="1"/>
  <c r="E20" i="74"/>
  <c r="G41" i="73"/>
  <c r="G11" i="73"/>
  <c r="F36" i="73"/>
  <c r="F11" i="73"/>
  <c r="F30" i="79" l="1"/>
  <c r="E47" i="81"/>
  <c r="E49" i="81" s="1"/>
  <c r="E31" i="79"/>
  <c r="E33" i="79" s="1"/>
  <c r="E14" i="79" l="1"/>
  <c r="F27" i="79" l="1"/>
  <c r="G97" i="77" l="1"/>
  <c r="G95" i="77"/>
  <c r="G93" i="77"/>
  <c r="G91" i="77"/>
  <c r="G89" i="77"/>
  <c r="G87" i="77"/>
  <c r="G84" i="77"/>
  <c r="G83" i="77"/>
  <c r="G80" i="77"/>
  <c r="G79" i="77"/>
  <c r="G76" i="77"/>
  <c r="G73" i="77"/>
  <c r="G71" i="77"/>
  <c r="G70" i="77"/>
  <c r="G69" i="77"/>
  <c r="G67" i="77"/>
  <c r="G58" i="77"/>
  <c r="G56" i="77"/>
  <c r="G47" i="77"/>
  <c r="G48" i="77" s="1"/>
  <c r="G42" i="77"/>
  <c r="G41" i="77"/>
  <c r="G40" i="77"/>
  <c r="G39" i="77"/>
  <c r="G36" i="77"/>
  <c r="G31" i="77"/>
  <c r="G29" i="77"/>
  <c r="G28" i="77"/>
  <c r="G27" i="77"/>
  <c r="G24" i="77"/>
  <c r="G13" i="77"/>
  <c r="G11" i="77"/>
  <c r="G19" i="77" l="1"/>
  <c r="G44" i="77"/>
  <c r="G37" i="77"/>
  <c r="G85" i="77"/>
  <c r="G20" i="74"/>
  <c r="G14" i="73"/>
  <c r="G21" i="73"/>
  <c r="F14" i="73"/>
  <c r="A4" i="74"/>
  <c r="A4" i="77" s="1"/>
  <c r="A4" i="75" s="1"/>
  <c r="A4" i="79" s="1"/>
  <c r="F45" i="81" l="1"/>
  <c r="F46" i="81" l="1"/>
  <c r="F43" i="81" l="1"/>
  <c r="F59" i="81" l="1"/>
  <c r="F47" i="81"/>
  <c r="A4" i="81"/>
  <c r="G106" i="77"/>
  <c r="G105" i="77"/>
  <c r="G104" i="77"/>
  <c r="G103" i="77"/>
  <c r="E19" i="79"/>
  <c r="D19" i="79"/>
  <c r="F25" i="77"/>
  <c r="E25" i="77"/>
  <c r="H19" i="73"/>
  <c r="G113" i="77"/>
  <c r="F11" i="74"/>
  <c r="E11" i="74"/>
  <c r="G165" i="76"/>
  <c r="G48" i="73" s="1"/>
  <c r="F165" i="76"/>
  <c r="F48" i="73" s="1"/>
  <c r="H164" i="76"/>
  <c r="H165" i="76" s="1"/>
  <c r="H166" i="76" s="1"/>
  <c r="G161" i="76"/>
  <c r="G47" i="73" s="1"/>
  <c r="F161" i="76"/>
  <c r="F47" i="73" s="1"/>
  <c r="H159" i="76"/>
  <c r="H158" i="76"/>
  <c r="G151" i="76"/>
  <c r="F151" i="76"/>
  <c r="H149" i="76"/>
  <c r="H151" i="76" s="1"/>
  <c r="G137" i="76"/>
  <c r="F34" i="73"/>
  <c r="H136" i="76"/>
  <c r="H135" i="76"/>
  <c r="H134" i="76"/>
  <c r="G128" i="76"/>
  <c r="F128" i="76"/>
  <c r="F145" i="76" s="1"/>
  <c r="H127" i="76"/>
  <c r="H126" i="76"/>
  <c r="H125" i="76"/>
  <c r="H124" i="76"/>
  <c r="H123" i="76"/>
  <c r="H122" i="76"/>
  <c r="H117" i="76"/>
  <c r="H119" i="76" s="1"/>
  <c r="F21" i="73"/>
  <c r="H98" i="76"/>
  <c r="H97" i="76"/>
  <c r="H95" i="76"/>
  <c r="H94" i="76"/>
  <c r="H92" i="76"/>
  <c r="H91" i="76"/>
  <c r="H90" i="76"/>
  <c r="H89" i="76"/>
  <c r="H88" i="76"/>
  <c r="H87" i="76"/>
  <c r="H86" i="76"/>
  <c r="H85" i="76"/>
  <c r="H83" i="76"/>
  <c r="H82" i="76"/>
  <c r="H81" i="76"/>
  <c r="H80" i="76"/>
  <c r="H78" i="76"/>
  <c r="H77" i="76"/>
  <c r="H75" i="76"/>
  <c r="H74" i="76"/>
  <c r="F20" i="73"/>
  <c r="H66" i="76"/>
  <c r="H65" i="76"/>
  <c r="G61" i="76"/>
  <c r="G109" i="76" s="1"/>
  <c r="F61" i="76"/>
  <c r="F109" i="76" s="1"/>
  <c r="H60" i="76"/>
  <c r="H58" i="76"/>
  <c r="H51" i="76"/>
  <c r="H49" i="76"/>
  <c r="H47" i="76"/>
  <c r="H46" i="76"/>
  <c r="H44" i="76"/>
  <c r="H35" i="76"/>
  <c r="H38" i="76" s="1"/>
  <c r="H29" i="76"/>
  <c r="H27" i="76"/>
  <c r="H22" i="76"/>
  <c r="H18" i="76"/>
  <c r="G10" i="73"/>
  <c r="F10" i="73"/>
  <c r="F24" i="73" l="1"/>
  <c r="H52" i="76"/>
  <c r="G107" i="77"/>
  <c r="G145" i="76"/>
  <c r="F19" i="79"/>
  <c r="G34" i="73"/>
  <c r="H31" i="76"/>
  <c r="F17" i="74"/>
  <c r="G12" i="73"/>
  <c r="G15" i="73" s="1"/>
  <c r="G32" i="73"/>
  <c r="E17" i="74"/>
  <c r="F12" i="73"/>
  <c r="G49" i="73"/>
  <c r="G11" i="74"/>
  <c r="F153" i="76"/>
  <c r="F32" i="73"/>
  <c r="H137" i="76"/>
  <c r="F53" i="81"/>
  <c r="F55" i="81" s="1"/>
  <c r="H100" i="76"/>
  <c r="F49" i="81"/>
  <c r="F50" i="77"/>
  <c r="G25" i="77"/>
  <c r="E50" i="77"/>
  <c r="D21" i="81" s="1"/>
  <c r="F99" i="77"/>
  <c r="F166" i="76"/>
  <c r="G166" i="76"/>
  <c r="F31" i="79"/>
  <c r="F33" i="79" s="1"/>
  <c r="F39" i="79"/>
  <c r="H68" i="76"/>
  <c r="H70" i="76" s="1"/>
  <c r="H61" i="76"/>
  <c r="H128" i="76"/>
  <c r="H109" i="76" l="1"/>
  <c r="F21" i="81"/>
  <c r="F32" i="81" s="1"/>
  <c r="E16" i="79"/>
  <c r="H54" i="76"/>
  <c r="E109" i="77"/>
  <c r="G17" i="74"/>
  <c r="F109" i="77"/>
  <c r="F111" i="77" s="1"/>
  <c r="G20" i="73"/>
  <c r="E16" i="74"/>
  <c r="E15" i="74"/>
  <c r="F16" i="74"/>
  <c r="F15" i="74"/>
  <c r="F111" i="76"/>
  <c r="G99" i="77"/>
  <c r="G50" i="77"/>
  <c r="G111" i="76"/>
  <c r="F168" i="76"/>
  <c r="G24" i="73" l="1"/>
  <c r="G26" i="73" s="1"/>
  <c r="D16" i="79"/>
  <c r="F16" i="79" s="1"/>
  <c r="G109" i="77"/>
  <c r="G111" i="77" s="1"/>
  <c r="G115" i="77" s="1"/>
  <c r="E111" i="77"/>
  <c r="E115" i="77" s="1"/>
  <c r="G16" i="74"/>
  <c r="D32" i="81"/>
  <c r="D34" i="81" s="1"/>
  <c r="D57" i="81" s="1"/>
  <c r="E21" i="79"/>
  <c r="E23" i="79" s="1"/>
  <c r="F18" i="74"/>
  <c r="F19" i="74" s="1"/>
  <c r="F21" i="74" s="1"/>
  <c r="G15" i="74"/>
  <c r="F115" i="77"/>
  <c r="F27" i="75" s="1"/>
  <c r="H111" i="76"/>
  <c r="F169" i="76"/>
  <c r="D21" i="79" l="1"/>
  <c r="D23" i="79" s="1"/>
  <c r="D41" i="79" s="1"/>
  <c r="D45" i="79" s="1"/>
  <c r="E27" i="75"/>
  <c r="E57" i="81"/>
  <c r="E61" i="81" s="1"/>
  <c r="E62" i="81" s="1"/>
  <c r="D61" i="81"/>
  <c r="D62" i="81" s="1"/>
  <c r="F34" i="81"/>
  <c r="F57" i="81" s="1"/>
  <c r="F116" i="77"/>
  <c r="G116" i="77"/>
  <c r="F21" i="79"/>
  <c r="F23" i="79" s="1"/>
  <c r="G18" i="74"/>
  <c r="E18" i="74"/>
  <c r="E19" i="74" s="1"/>
  <c r="F61" i="81" l="1"/>
  <c r="F62" i="81" s="1"/>
  <c r="E41" i="79"/>
  <c r="E45" i="79" s="1"/>
  <c r="E46" i="79" s="1"/>
  <c r="F41" i="79"/>
  <c r="D46" i="79"/>
  <c r="E21" i="74"/>
  <c r="E116" i="77" s="1"/>
  <c r="G26" i="75"/>
  <c r="F25" i="75"/>
  <c r="E25" i="75"/>
  <c r="G24" i="75"/>
  <c r="G23" i="75"/>
  <c r="F20" i="75"/>
  <c r="E20" i="75"/>
  <c r="G18" i="75"/>
  <c r="G17" i="75"/>
  <c r="G16" i="75"/>
  <c r="F13" i="75"/>
  <c r="E13" i="75"/>
  <c r="G11" i="75"/>
  <c r="G10" i="75"/>
  <c r="F45" i="79" l="1"/>
  <c r="F46" i="79" s="1"/>
  <c r="G13" i="75"/>
  <c r="G20" i="75"/>
  <c r="G25" i="75"/>
  <c r="H48" i="73"/>
  <c r="H47" i="73"/>
  <c r="H34" i="73"/>
  <c r="H32" i="73"/>
  <c r="H31" i="73"/>
  <c r="H21" i="73"/>
  <c r="H20" i="73"/>
  <c r="H18" i="73"/>
  <c r="H24" i="73" l="1"/>
  <c r="G19" i="74"/>
  <c r="H49" i="73"/>
  <c r="F49" i="73"/>
  <c r="F41" i="73"/>
  <c r="F15" i="73"/>
  <c r="F37" i="73"/>
  <c r="H14" i="73"/>
  <c r="H13" i="73"/>
  <c r="H12" i="73"/>
  <c r="H11" i="73"/>
  <c r="H10" i="73"/>
  <c r="F43" i="73" l="1"/>
  <c r="F51" i="73" s="1"/>
  <c r="F26" i="73"/>
  <c r="H15" i="73"/>
  <c r="H26" i="73" s="1"/>
  <c r="F29" i="75" l="1"/>
  <c r="F31" i="75" s="1"/>
  <c r="F32" i="75" s="1"/>
  <c r="G21" i="74"/>
  <c r="E29" i="75"/>
  <c r="E31" i="75" s="1"/>
  <c r="E32" i="75" s="1"/>
  <c r="F52" i="73"/>
  <c r="G27" i="75" l="1"/>
  <c r="G29" i="75" s="1"/>
  <c r="G31" i="75" s="1"/>
  <c r="G32" i="75" s="1"/>
  <c r="G36" i="73"/>
  <c r="H143" i="76"/>
  <c r="G153" i="76"/>
  <c r="G168" i="76" s="1"/>
  <c r="G169" i="76" s="1"/>
  <c r="H145" i="76" l="1"/>
  <c r="H153" i="76" s="1"/>
  <c r="H168" i="76" s="1"/>
  <c r="H169" i="76" s="1"/>
  <c r="H36" i="73"/>
  <c r="H37" i="73" s="1"/>
  <c r="H43" i="73" s="1"/>
  <c r="H51" i="73" s="1"/>
  <c r="H52" i="73" s="1"/>
  <c r="G37" i="73"/>
  <c r="G43" i="73" s="1"/>
  <c r="G51" i="73" s="1"/>
  <c r="G52" i="73" s="1"/>
</calcChain>
</file>

<file path=xl/sharedStrings.xml><?xml version="1.0" encoding="utf-8"?>
<sst xmlns="http://schemas.openxmlformats.org/spreadsheetml/2006/main" count="409" uniqueCount="286">
  <si>
    <t>PORO POINT MANAGEMENT CORPORATION</t>
  </si>
  <si>
    <t>(A Member of The BCDA Group)</t>
  </si>
  <si>
    <t>Detailed Statement of Financial Position</t>
  </si>
  <si>
    <t>Variance</t>
  </si>
  <si>
    <t>ASSETS</t>
  </si>
  <si>
    <t>Current Assets</t>
  </si>
  <si>
    <t>Cash and Cash Equivalents</t>
  </si>
  <si>
    <t>Investments</t>
  </si>
  <si>
    <t>Receivables</t>
  </si>
  <si>
    <t>Inventories</t>
  </si>
  <si>
    <t>Total Current Assets</t>
  </si>
  <si>
    <t>Non-Current Assets</t>
  </si>
  <si>
    <t>Property, Plant and Equipment</t>
  </si>
  <si>
    <t>Total Non-Current Assets</t>
  </si>
  <si>
    <t>TOTAL ASSETS</t>
  </si>
  <si>
    <t>Current Liabilities</t>
  </si>
  <si>
    <t>Financial Liabilities</t>
  </si>
  <si>
    <t>Inter-Agency Payables</t>
  </si>
  <si>
    <t>Trust Liabilities</t>
  </si>
  <si>
    <t>Other Payables</t>
  </si>
  <si>
    <t>Total Current Liabilities</t>
  </si>
  <si>
    <t>Non-Current Liabilities</t>
  </si>
  <si>
    <t>Total Non-Current Liabilities</t>
  </si>
  <si>
    <t>TOTAL LIABILITIES</t>
  </si>
  <si>
    <t>Stockholders' Equity</t>
  </si>
  <si>
    <t>Share Capital</t>
  </si>
  <si>
    <t>Retained Earnings/(Deficit)</t>
  </si>
  <si>
    <t>Total Equity</t>
  </si>
  <si>
    <t>TOTAL LIABILITIES AND EQUITY</t>
  </si>
  <si>
    <t>Detailed Statement of Comprehensive Income</t>
  </si>
  <si>
    <t>Service and Business Income</t>
  </si>
  <si>
    <t>Personnel Services</t>
  </si>
  <si>
    <t>Maintenance and Other Operating Expenses</t>
  </si>
  <si>
    <t>Non-Cash Expenses</t>
  </si>
  <si>
    <t>Statement of Changes in Equity</t>
  </si>
  <si>
    <t>Balance at Beginning of the Period</t>
  </si>
  <si>
    <t>Balance at End of the Period</t>
  </si>
  <si>
    <t>Other Equity Investments</t>
  </si>
  <si>
    <t>Additions</t>
  </si>
  <si>
    <t>Deductions</t>
  </si>
  <si>
    <t>Retained Earnings</t>
  </si>
  <si>
    <t>Correction of prior year's errors</t>
  </si>
  <si>
    <t>Net Income (Loss)</t>
  </si>
  <si>
    <t>TOTAL EQUITY</t>
  </si>
  <si>
    <t>Authorized, issued and fully paid</t>
  </si>
  <si>
    <t>800,000 shares, Php100.00 par value</t>
  </si>
  <si>
    <t xml:space="preserve">As restated </t>
  </si>
  <si>
    <t>Cash Flow from Operating Activities</t>
  </si>
  <si>
    <t>Cash Inflow</t>
  </si>
  <si>
    <t>Total Cash Inflow</t>
  </si>
  <si>
    <t>Cash Outflow</t>
  </si>
  <si>
    <t>Total Cash Outflow</t>
  </si>
  <si>
    <t>Net Cash Provided by (used in) Operating Activities</t>
  </si>
  <si>
    <t>Cash Flow from Investing Activities</t>
  </si>
  <si>
    <t>Net Cash Provided by (used in) Investing Activities</t>
  </si>
  <si>
    <t>Cash Flow from Financing Activities</t>
  </si>
  <si>
    <t>Net Cash Provided by (used in) Financing Activities</t>
  </si>
  <si>
    <t>Net Increase in Cash and Cash Equivalents</t>
  </si>
  <si>
    <t>Add: Cash and Cash Equivalents, Beginning</t>
  </si>
  <si>
    <t>Cash and Cash Equivalents, Ending</t>
  </si>
  <si>
    <t>See Accompanying Notes to Financial Statements.</t>
  </si>
  <si>
    <t>Investment Property</t>
  </si>
  <si>
    <t>Collection of Receivables</t>
  </si>
  <si>
    <t>Payment of Dividends</t>
  </si>
  <si>
    <t>Note</t>
  </si>
  <si>
    <t xml:space="preserve">LIABILITIES </t>
  </si>
  <si>
    <t>EQUITY</t>
  </si>
  <si>
    <t>Dividends</t>
  </si>
  <si>
    <t>Income Tax Expense/(Benefit)</t>
  </si>
  <si>
    <t>Total Expenses</t>
  </si>
  <si>
    <t>Profit/(Loss) Before Tax</t>
  </si>
  <si>
    <t>Comprehensive Income/(Loss)</t>
  </si>
  <si>
    <t>Condensed Statement of Financial Position</t>
  </si>
  <si>
    <t>Notes</t>
  </si>
  <si>
    <t>Total</t>
  </si>
  <si>
    <t>Loans and Receivables Account</t>
  </si>
  <si>
    <t>Inter-Agency Receivables</t>
  </si>
  <si>
    <t>Due from Parent Corporation</t>
  </si>
  <si>
    <t>Other Receivables</t>
  </si>
  <si>
    <t>Due from Officers and Employees</t>
  </si>
  <si>
    <t>Inventory Held for Consumption</t>
  </si>
  <si>
    <t>Prepayments</t>
  </si>
  <si>
    <t>Advances to Contractors</t>
  </si>
  <si>
    <t>Other Prepayments</t>
  </si>
  <si>
    <t>Deposits</t>
  </si>
  <si>
    <t>Guaranty deposits</t>
  </si>
  <si>
    <t>Withholding Tax at Source</t>
  </si>
  <si>
    <t>Investments in Joint Venture</t>
  </si>
  <si>
    <t>Other Investments</t>
  </si>
  <si>
    <t>Investment in Stocks</t>
  </si>
  <si>
    <t>Land and Buildings</t>
  </si>
  <si>
    <t>Investment Property, Land</t>
  </si>
  <si>
    <t>Investment Property, Buildings</t>
  </si>
  <si>
    <t>Construction in Progress</t>
  </si>
  <si>
    <t>Construction in Progress-Investment Property, Buildings</t>
  </si>
  <si>
    <t>Land Improvements</t>
  </si>
  <si>
    <t>Other Land Improvements</t>
  </si>
  <si>
    <t>Accumulated Depreciation-Other Land Improvements</t>
  </si>
  <si>
    <t>Infrastructure Assets</t>
  </si>
  <si>
    <t>Power Supply Systems</t>
  </si>
  <si>
    <t>Accumulated Depreciation-Power Supply Systems</t>
  </si>
  <si>
    <t>Buildings and Other Structures</t>
  </si>
  <si>
    <t>Buildings</t>
  </si>
  <si>
    <t>Accumulated Depreciation-Buildings</t>
  </si>
  <si>
    <t>Other Structures</t>
  </si>
  <si>
    <t>Accumulated Depreciation-Other Structures</t>
  </si>
  <si>
    <t>Machinery and Equipment</t>
  </si>
  <si>
    <t>Office Equipment</t>
  </si>
  <si>
    <t>Accumulated Depreciation-Office Equipment</t>
  </si>
  <si>
    <t>Information and Communication Technology (ICT) Equipment</t>
  </si>
  <si>
    <t>Accumulated Depreciation-ICT Equipment</t>
  </si>
  <si>
    <t>Communication Equipment</t>
  </si>
  <si>
    <t>Accumulated Depreciation-Communication Equipment</t>
  </si>
  <si>
    <t>Technical and Scientific Equipment</t>
  </si>
  <si>
    <t>Accumulated Depreciation-Technical and Scientific Equipment</t>
  </si>
  <si>
    <t>Furniture, Fixtures and Books</t>
  </si>
  <si>
    <t>Furniture and Fixtures</t>
  </si>
  <si>
    <t>Accumulated Depreciation-Furniture and Fixtures</t>
  </si>
  <si>
    <t>Transportation Equipment</t>
  </si>
  <si>
    <t>Motor Vehicle</t>
  </si>
  <si>
    <t>Accumulated Depreciation-Motor Vehicle</t>
  </si>
  <si>
    <t>LIABILITIES AND EQUITY</t>
  </si>
  <si>
    <t>Accounts Payable</t>
  </si>
  <si>
    <t>Due to BIR</t>
  </si>
  <si>
    <t>Due to Pag-ibig</t>
  </si>
  <si>
    <t>Due to Philhealth</t>
  </si>
  <si>
    <t>Due to SSS</t>
  </si>
  <si>
    <t>Due to Parent Corporation</t>
  </si>
  <si>
    <t>Income Tax Payable</t>
  </si>
  <si>
    <t>Customer's Deposit Payable</t>
  </si>
  <si>
    <t>Equity</t>
  </si>
  <si>
    <t>Other Equity Instruments</t>
  </si>
  <si>
    <t>See Accompanying Notes to Financial Statements</t>
  </si>
  <si>
    <t>Service Income</t>
  </si>
  <si>
    <t>Permit Fees</t>
  </si>
  <si>
    <t>Business Income</t>
  </si>
  <si>
    <t>Management Fees</t>
  </si>
  <si>
    <t>Interest Income</t>
  </si>
  <si>
    <t>Expenses</t>
  </si>
  <si>
    <t>Salaries and Wages</t>
  </si>
  <si>
    <t>Salaries and Wages-Regular</t>
  </si>
  <si>
    <t>Other Compensation</t>
  </si>
  <si>
    <t>Personnel Economic Relief Allowance (PERA)</t>
  </si>
  <si>
    <t>Representation Allowance (RA)</t>
  </si>
  <si>
    <t>Transportation Allowance (TA)</t>
  </si>
  <si>
    <t>Overtime and Night Pay</t>
  </si>
  <si>
    <t>Directors and Committee Members' Fees</t>
  </si>
  <si>
    <t>Personnel Benefit Contributions</t>
  </si>
  <si>
    <t>Pag-ibig Contributions</t>
  </si>
  <si>
    <t>Philhealth Contributions</t>
  </si>
  <si>
    <t>Employees Compensation Insurance Premiums</t>
  </si>
  <si>
    <t>Retirement and Life Insurance Premiums</t>
  </si>
  <si>
    <t>Terminal Leave Benefits</t>
  </si>
  <si>
    <t>Travelling Expenses</t>
  </si>
  <si>
    <t>Travelling Expenses-Local</t>
  </si>
  <si>
    <t>Training and Scholarship Expenses</t>
  </si>
  <si>
    <t>Training Expenses</t>
  </si>
  <si>
    <t>Supplies and Materials Expenses</t>
  </si>
  <si>
    <t>Utility Expenses</t>
  </si>
  <si>
    <t>Electricity Expenses</t>
  </si>
  <si>
    <t>Communication Expenses</t>
  </si>
  <si>
    <t>Extraordinary and Miscellaneous Expenses</t>
  </si>
  <si>
    <t>Professional Services</t>
  </si>
  <si>
    <t>Auditing Services</t>
  </si>
  <si>
    <t>General Services</t>
  </si>
  <si>
    <t>Janitorial Services</t>
  </si>
  <si>
    <t>Security Services</t>
  </si>
  <si>
    <t>Repair and Maintenance</t>
  </si>
  <si>
    <t>Repair and Maintenance- Transportation Equipment</t>
  </si>
  <si>
    <t>Taxes, Insurance Premiums and Other Fees</t>
  </si>
  <si>
    <t>Taxes, Duties and Licenses</t>
  </si>
  <si>
    <t>Insurance Expenses</t>
  </si>
  <si>
    <t>Other Maintenance and Operating Expenses</t>
  </si>
  <si>
    <t>Advertising, Promotional and Marketing Expenses</t>
  </si>
  <si>
    <t>Representation Expenses</t>
  </si>
  <si>
    <t>Subscription Expenses</t>
  </si>
  <si>
    <t>Total Maintenance and Other Operating Expenses</t>
  </si>
  <si>
    <t>Depreciation Expense</t>
  </si>
  <si>
    <t>NET INCOME/(LOSS) BEFORE TAX</t>
  </si>
  <si>
    <t>NET PROFIT/(LOSS) AFTER TAX</t>
  </si>
  <si>
    <t>Other Current Assets</t>
  </si>
  <si>
    <t>Investments in Joint Ventures</t>
  </si>
  <si>
    <t>Cash in Bank-Local Currency</t>
  </si>
  <si>
    <t>Cash in Bank-Local Currency, Current Account</t>
  </si>
  <si>
    <t>Investments in Time Deposits-Local Currency</t>
  </si>
  <si>
    <t>Accounts Receivables</t>
  </si>
  <si>
    <t>Guaranty/Security Deposits Payable</t>
  </si>
  <si>
    <t>Condensed Statement of Comprehensive Income</t>
  </si>
  <si>
    <t>Income</t>
  </si>
  <si>
    <t>Total Income</t>
  </si>
  <si>
    <t>Total Salaries and Wages</t>
  </si>
  <si>
    <t>Total Other Compensation</t>
  </si>
  <si>
    <t>Total Personnel Benefit Contributions</t>
  </si>
  <si>
    <t>Other Personnel Benefits</t>
  </si>
  <si>
    <t>Total Personnel Services</t>
  </si>
  <si>
    <t>Office Supplies Expenses</t>
  </si>
  <si>
    <t>Confidential, Intelligence and Extraordinary Expenses</t>
  </si>
  <si>
    <t>Repair and Maintenance-Furnitures and Fixtures</t>
  </si>
  <si>
    <t>Total Other Personnel Benefits</t>
  </si>
  <si>
    <t>Depreciation-Building and Other Structures</t>
  </si>
  <si>
    <t>Depreciation-Machinery and Equipment</t>
  </si>
  <si>
    <t>Depreciation-Transportation Equipment</t>
  </si>
  <si>
    <t>Depreciation-Furniture, Fixtures and Books</t>
  </si>
  <si>
    <t>Postage and Courier Services</t>
  </si>
  <si>
    <t>Telephone Expenses</t>
  </si>
  <si>
    <t>Internet Subscription Expenses</t>
  </si>
  <si>
    <t>Condensed Statement of Cash Flows</t>
  </si>
  <si>
    <t>Detailed Statement of Cash Flows</t>
  </si>
  <si>
    <t>Collection of Income/Revenue</t>
  </si>
  <si>
    <t>Collection of service and business income</t>
  </si>
  <si>
    <t>Adjustments</t>
  </si>
  <si>
    <t>Payment of Expenses</t>
  </si>
  <si>
    <t>Other adjustments-Investment in time deposit acct.</t>
  </si>
  <si>
    <t>Remittance of Personnel Benefit Contributions and Mandatory Deductions</t>
  </si>
  <si>
    <t>Receipt of Interest Earned</t>
  </si>
  <si>
    <t>Purchase/Construction of Property, Plant and Equipment</t>
  </si>
  <si>
    <t>Receipt of Inter-Agency Fund Transfers</t>
  </si>
  <si>
    <t>Receipt of funds for other inter-agency transactions</t>
  </si>
  <si>
    <t>Payment of personnel services</t>
  </si>
  <si>
    <t>Payment of maintenance and other operating expenses</t>
  </si>
  <si>
    <t>Payment of inventories</t>
  </si>
  <si>
    <t>Purchase of Inventories</t>
  </si>
  <si>
    <t>Remittance of taxes withheld</t>
  </si>
  <si>
    <t>Remittance of SSS/Pag-ibig/Philhealth</t>
  </si>
  <si>
    <t>Construction of Buildings and Other Structures</t>
  </si>
  <si>
    <t>Payment of Accounts Payable</t>
  </si>
  <si>
    <t>Purchase of Machinery and Equipment</t>
  </si>
  <si>
    <t>Purchase of Transportation Equipment</t>
  </si>
  <si>
    <t>Purchase/Construction of Investment Property</t>
  </si>
  <si>
    <t>Construction of Investment Property</t>
  </si>
  <si>
    <t>Purchase of Furniture, Fixtures and Books</t>
  </si>
  <si>
    <t>Advances</t>
  </si>
  <si>
    <t>Advances to Officers and Employees</t>
  </si>
  <si>
    <t>Receipt of proceeds from termination of investment account</t>
  </si>
  <si>
    <t>Receipt of proceeds from termination of investment acct.</t>
  </si>
  <si>
    <t>Other Business Income</t>
  </si>
  <si>
    <t>Total Non-Cash Expenses</t>
  </si>
  <si>
    <t>Collection of receivables</t>
  </si>
  <si>
    <t>Petty Cash Fund</t>
  </si>
  <si>
    <t>Fixed Asset Accrual</t>
  </si>
  <si>
    <t>Cash Gift</t>
  </si>
  <si>
    <t>Intra-Agency Receivables</t>
  </si>
  <si>
    <t>Due from Government Corporations</t>
  </si>
  <si>
    <t xml:space="preserve">Due from National Government Agencies </t>
  </si>
  <si>
    <t>Construction Materials Inventory</t>
  </si>
  <si>
    <t>Other Supplies and Materials Inventory</t>
  </si>
  <si>
    <t>Due to Officers and Employees</t>
  </si>
  <si>
    <t>Clothing/Uniform Allowance</t>
  </si>
  <si>
    <t>Mid-year Bonus</t>
  </si>
  <si>
    <t>Year-End Bonus</t>
  </si>
  <si>
    <t>Fuel, Oil and Lubricants Expenses</t>
  </si>
  <si>
    <t xml:space="preserve">Prepaid Insurance </t>
  </si>
  <si>
    <t>Other adjustments-Termination of time deposit acct.</t>
  </si>
  <si>
    <t>Cash Collecting Officer</t>
  </si>
  <si>
    <t>Intra-Agency Payables</t>
  </si>
  <si>
    <t>Due to Other Funds</t>
  </si>
  <si>
    <t>Provident/Welfare Contribution</t>
  </si>
  <si>
    <t>Other Bonuses and Allowances</t>
  </si>
  <si>
    <t>Other Professional Services</t>
  </si>
  <si>
    <t>Unearned Revenue</t>
  </si>
  <si>
    <t>Other Unearned Revenue</t>
  </si>
  <si>
    <t>Miscellaneous Income</t>
  </si>
  <si>
    <t>Unearned Income</t>
  </si>
  <si>
    <t>Construction in Progress-Buildings and Other Structures</t>
  </si>
  <si>
    <t>Semi-Expendable Furniture, Fixtures and Books Expenses</t>
  </si>
  <si>
    <t>Repair and Maintenance- Machinery and Equipment</t>
  </si>
  <si>
    <t>Repair and Maintenance- Buildings &amp; Other Structures</t>
  </si>
  <si>
    <t>Office Supplies Inventory</t>
  </si>
  <si>
    <t>Semi-Expendable Machinery and Equipment Expenses</t>
  </si>
  <si>
    <t/>
  </si>
  <si>
    <t>Other Non-Current Assets</t>
  </si>
  <si>
    <t>Other Assets (Non-Current)</t>
  </si>
  <si>
    <t>Retirement Gratuity</t>
  </si>
  <si>
    <t>Prepaid Registration</t>
  </si>
  <si>
    <t>Intangible Assets</t>
  </si>
  <si>
    <t>Websites</t>
  </si>
  <si>
    <t>Accountable Forms Expenses</t>
  </si>
  <si>
    <t>Drugs and Medicines Expenses</t>
  </si>
  <si>
    <t>Water Expenses</t>
  </si>
  <si>
    <t>Legal Services</t>
  </si>
  <si>
    <t>Fidelity Bond Premiums</t>
  </si>
  <si>
    <t>Printing and Publication Expenses</t>
  </si>
  <si>
    <t>Bank Transaction Fee</t>
  </si>
  <si>
    <t>Membership Dues and Contributions to Organizations</t>
  </si>
  <si>
    <t>Other Supplies and Materials Expenses</t>
  </si>
  <si>
    <t>As of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</si>
</sst>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##,###,##0.00;\(###,###,##0.00\)"/>
    <numFmt numFmtId="166" formatCode="#.##%"/>
    <numFmt numFmtId="167" formatCode="#,##0.00000000_);\(#,##0.00000000\)"/>
    <numFmt numFmtId="168" formatCode="#,##0.0000000000000_);\(#,##0.0000000000000\)"/>
  </numFmts>
  <fonts count="47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2"/>
      <name val="Tahoma"/>
      <family val="2"/>
    </font>
    <font>
      <sz val="10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name val="Tahoma"/>
      <family val="2"/>
    </font>
    <font>
      <b/>
      <sz val="11.5"/>
      <name val="Arial"/>
      <family val="2"/>
    </font>
    <font>
      <sz val="11.5"/>
      <name val="Arial"/>
      <family val="2"/>
    </font>
    <font>
      <b/>
      <i/>
      <sz val="11.5"/>
      <name val="Arial"/>
      <family val="2"/>
    </font>
    <font>
      <sz val="11.5"/>
      <name val="Tahoma"/>
      <family val="2"/>
    </font>
    <font>
      <i/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0">
    <xf numFmtId="0" fontId="0" fillId="0" borderId="0" applyAlignment="0"/>
    <xf numFmtId="0" fontId="3" fillId="2" borderId="1" applyAlignment="0"/>
    <xf numFmtId="0" fontId="3" fillId="2" borderId="1">
      <alignment horizontal="left" vertical="top" wrapText="1"/>
    </xf>
    <xf numFmtId="0" fontId="4" fillId="2" borderId="1" applyAlignment="0"/>
    <xf numFmtId="0" fontId="4" fillId="2" borderId="1">
      <alignment horizontal="left" vertical="top" wrapText="1"/>
    </xf>
    <xf numFmtId="0" fontId="5" fillId="2" borderId="1" applyAlignment="0"/>
    <xf numFmtId="0" fontId="5" fillId="2" borderId="1">
      <alignment horizontal="left" vertical="top" wrapText="1"/>
    </xf>
    <xf numFmtId="0" fontId="6" fillId="2" borderId="1" applyAlignment="0"/>
    <xf numFmtId="0" fontId="6" fillId="2" borderId="1">
      <alignment horizontal="left" vertical="top" wrapText="1"/>
    </xf>
    <xf numFmtId="0" fontId="3" fillId="2" borderId="1">
      <alignment horizontal="right" vertical="top" wrapText="1"/>
    </xf>
    <xf numFmtId="0" fontId="7" fillId="0" borderId="2"/>
    <xf numFmtId="0" fontId="5" fillId="2" borderId="1">
      <alignment horizontal="right" vertical="top" wrapText="1"/>
    </xf>
    <xf numFmtId="165" fontId="5" fillId="2" borderId="1">
      <alignment horizontal="right" vertical="top" wrapText="1"/>
    </xf>
    <xf numFmtId="0" fontId="7" fillId="0" borderId="3"/>
    <xf numFmtId="165" fontId="3" fillId="2" borderId="1">
      <alignment horizontal="right" vertical="top" wrapText="1"/>
    </xf>
    <xf numFmtId="164" fontId="7" fillId="0" borderId="0" applyFont="0" applyFill="0" applyBorder="0" applyAlignment="0" applyProtection="0"/>
    <xf numFmtId="43" fontId="8" fillId="2" borderId="1" applyFont="0" applyFill="0" applyBorder="0" applyAlignment="0" applyProtection="0"/>
    <xf numFmtId="0" fontId="9" fillId="2" borderId="1">
      <alignment horizontal="left" vertical="top" wrapText="1"/>
    </xf>
    <xf numFmtId="0" fontId="10" fillId="2" borderId="1" applyAlignment="0"/>
    <xf numFmtId="0" fontId="11" fillId="2" borderId="1">
      <alignment horizontal="left" vertical="top" wrapText="1"/>
    </xf>
    <xf numFmtId="0" fontId="9" fillId="2" borderId="1">
      <alignment horizontal="right" vertical="top" wrapText="1"/>
    </xf>
    <xf numFmtId="0" fontId="10" fillId="2" borderId="2"/>
    <xf numFmtId="0" fontId="12" fillId="2" borderId="1">
      <alignment horizontal="left" vertical="top" wrapText="1"/>
    </xf>
    <xf numFmtId="165" fontId="12" fillId="2" borderId="1">
      <alignment horizontal="right" vertical="top" wrapText="1"/>
    </xf>
    <xf numFmtId="0" fontId="10" fillId="2" borderId="3"/>
    <xf numFmtId="165" fontId="9" fillId="2" borderId="1">
      <alignment horizontal="right" vertical="top" wrapText="1"/>
    </xf>
    <xf numFmtId="0" fontId="8" fillId="2" borderId="1"/>
    <xf numFmtId="0" fontId="2" fillId="2" borderId="1"/>
    <xf numFmtId="43" fontId="2" fillId="2" borderId="1" applyFont="0" applyFill="0" applyBorder="0" applyAlignment="0" applyProtection="0"/>
    <xf numFmtId="0" fontId="14" fillId="2" borderId="1">
      <alignment horizontal="left" vertical="top" wrapText="1"/>
    </xf>
    <xf numFmtId="0" fontId="13" fillId="2" borderId="1" applyAlignment="0"/>
    <xf numFmtId="0" fontId="15" fillId="2" borderId="1">
      <alignment horizontal="left" vertical="top" wrapText="1"/>
    </xf>
    <xf numFmtId="0" fontId="14" fillId="2" borderId="1">
      <alignment horizontal="right" vertical="top" wrapText="1"/>
    </xf>
    <xf numFmtId="0" fontId="13" fillId="2" borderId="2"/>
    <xf numFmtId="0" fontId="16" fillId="2" borderId="1">
      <alignment horizontal="left" vertical="top" wrapText="1"/>
    </xf>
    <xf numFmtId="165" fontId="16" fillId="2" borderId="1">
      <alignment horizontal="right" vertical="top" wrapText="1"/>
    </xf>
    <xf numFmtId="166" fontId="16" fillId="2" borderId="1">
      <alignment horizontal="right" vertical="top" wrapText="1"/>
    </xf>
    <xf numFmtId="0" fontId="13" fillId="2" borderId="3"/>
    <xf numFmtId="165" fontId="14" fillId="2" borderId="1">
      <alignment horizontal="right" vertical="top" wrapText="1"/>
    </xf>
    <xf numFmtId="166" fontId="14" fillId="2" borderId="1">
      <alignment horizontal="right" vertical="top" wrapText="1"/>
    </xf>
    <xf numFmtId="0" fontId="13" fillId="2" borderId="1" applyAlignment="0"/>
    <xf numFmtId="0" fontId="7" fillId="2" borderId="1" applyAlignment="0"/>
    <xf numFmtId="0" fontId="7" fillId="2" borderId="2"/>
    <xf numFmtId="166" fontId="5" fillId="2" borderId="1">
      <alignment horizontal="right" vertical="top" wrapText="1"/>
    </xf>
    <xf numFmtId="0" fontId="7" fillId="2" borderId="3"/>
    <xf numFmtId="165" fontId="3" fillId="2" borderId="1">
      <alignment horizontal="right" vertical="top" wrapText="1"/>
    </xf>
    <xf numFmtId="166" fontId="3" fillId="2" borderId="1">
      <alignment horizontal="right" vertical="top" wrapText="1"/>
    </xf>
    <xf numFmtId="0" fontId="3" fillId="2" borderId="1">
      <alignment horizontal="left" vertical="top" wrapText="1"/>
    </xf>
    <xf numFmtId="0" fontId="7" fillId="2" borderId="1" applyAlignment="0"/>
    <xf numFmtId="0" fontId="6" fillId="2" borderId="1">
      <alignment horizontal="left" vertical="top" wrapText="1"/>
    </xf>
    <xf numFmtId="0" fontId="3" fillId="2" borderId="1">
      <alignment horizontal="right" vertical="top" wrapText="1"/>
    </xf>
    <xf numFmtId="0" fontId="7" fillId="2" borderId="2"/>
    <xf numFmtId="0" fontId="5" fillId="2" borderId="1">
      <alignment horizontal="left" vertical="top" wrapText="1"/>
    </xf>
    <xf numFmtId="165" fontId="5" fillId="2" borderId="1">
      <alignment horizontal="right" vertical="top" wrapText="1"/>
    </xf>
    <xf numFmtId="166" fontId="5" fillId="2" borderId="1">
      <alignment horizontal="right" vertical="top" wrapText="1"/>
    </xf>
    <xf numFmtId="0" fontId="7" fillId="2" borderId="3"/>
    <xf numFmtId="0" fontId="19" fillId="2" borderId="1">
      <alignment horizontal="left" vertical="top" wrapText="1"/>
    </xf>
    <xf numFmtId="0" fontId="18" fillId="2" borderId="1" applyAlignment="0"/>
    <xf numFmtId="0" fontId="20" fillId="2" borderId="1">
      <alignment horizontal="left" vertical="top" wrapText="1"/>
    </xf>
    <xf numFmtId="0" fontId="19" fillId="2" borderId="1">
      <alignment horizontal="right" vertical="top" wrapText="1"/>
    </xf>
    <xf numFmtId="0" fontId="18" fillId="2" borderId="2"/>
    <xf numFmtId="0" fontId="21" fillId="2" borderId="1">
      <alignment horizontal="left" vertical="top" wrapText="1"/>
    </xf>
    <xf numFmtId="165" fontId="21" fillId="2" borderId="1">
      <alignment horizontal="right" vertical="top" wrapText="1"/>
    </xf>
    <xf numFmtId="166" fontId="21" fillId="2" borderId="1">
      <alignment horizontal="right" vertical="top" wrapText="1"/>
    </xf>
    <xf numFmtId="0" fontId="18" fillId="2" borderId="3"/>
    <xf numFmtId="165" fontId="19" fillId="2" borderId="1">
      <alignment horizontal="right" vertical="top" wrapText="1"/>
    </xf>
    <xf numFmtId="166" fontId="19" fillId="2" borderId="1">
      <alignment horizontal="right" vertical="top" wrapText="1"/>
    </xf>
    <xf numFmtId="0" fontId="23" fillId="2" borderId="1">
      <alignment horizontal="left" vertical="top" wrapText="1"/>
    </xf>
    <xf numFmtId="0" fontId="22" fillId="2" borderId="1" applyAlignment="0"/>
    <xf numFmtId="0" fontId="24" fillId="2" borderId="1">
      <alignment horizontal="left" vertical="top" wrapText="1"/>
    </xf>
    <xf numFmtId="0" fontId="23" fillId="2" borderId="1">
      <alignment horizontal="right" vertical="top" wrapText="1"/>
    </xf>
    <xf numFmtId="0" fontId="22" fillId="2" borderId="2"/>
    <xf numFmtId="0" fontId="25" fillId="2" borderId="1">
      <alignment horizontal="left" vertical="top" wrapText="1"/>
    </xf>
    <xf numFmtId="165" fontId="25" fillId="2" borderId="1">
      <alignment horizontal="right" vertical="top" wrapText="1"/>
    </xf>
    <xf numFmtId="166" fontId="25" fillId="2" borderId="1">
      <alignment horizontal="right" vertical="top" wrapText="1"/>
    </xf>
    <xf numFmtId="0" fontId="22" fillId="2" borderId="3"/>
    <xf numFmtId="165" fontId="23" fillId="2" borderId="1">
      <alignment horizontal="right" vertical="top" wrapText="1"/>
    </xf>
    <xf numFmtId="166" fontId="23" fillId="2" borderId="1">
      <alignment horizontal="right" vertical="top" wrapText="1"/>
    </xf>
    <xf numFmtId="0" fontId="22" fillId="2" borderId="3"/>
    <xf numFmtId="165" fontId="23" fillId="2" borderId="1">
      <alignment horizontal="right" vertical="top" wrapText="1"/>
    </xf>
    <xf numFmtId="0" fontId="29" fillId="2" borderId="1">
      <alignment horizontal="left" vertical="top" wrapText="1"/>
    </xf>
    <xf numFmtId="0" fontId="28" fillId="2" borderId="1" applyAlignment="0"/>
    <xf numFmtId="0" fontId="30" fillId="2" borderId="1">
      <alignment horizontal="left" vertical="top" wrapText="1"/>
    </xf>
    <xf numFmtId="0" fontId="29" fillId="2" borderId="1">
      <alignment horizontal="right" vertical="top" wrapText="1"/>
    </xf>
    <xf numFmtId="0" fontId="28" fillId="2" borderId="2"/>
    <xf numFmtId="0" fontId="31" fillId="2" borderId="1">
      <alignment horizontal="left" vertical="top" wrapText="1"/>
    </xf>
    <xf numFmtId="165" fontId="31" fillId="2" borderId="1">
      <alignment horizontal="right" vertical="top" wrapText="1"/>
    </xf>
    <xf numFmtId="166" fontId="31" fillId="2" borderId="1">
      <alignment horizontal="right" vertical="top" wrapText="1"/>
    </xf>
    <xf numFmtId="0" fontId="28" fillId="2" borderId="3"/>
    <xf numFmtId="165" fontId="29" fillId="2" borderId="1">
      <alignment horizontal="right" vertical="top" wrapText="1"/>
    </xf>
    <xf numFmtId="166" fontId="29" fillId="2" borderId="1">
      <alignment horizontal="right" vertical="top" wrapText="1"/>
    </xf>
    <xf numFmtId="0" fontId="33" fillId="2" borderId="1">
      <alignment horizontal="left" vertical="top" wrapText="1"/>
    </xf>
    <xf numFmtId="0" fontId="32" fillId="2" borderId="1" applyAlignment="0"/>
    <xf numFmtId="0" fontId="34" fillId="2" borderId="1">
      <alignment horizontal="left" vertical="top" wrapText="1"/>
    </xf>
    <xf numFmtId="0" fontId="33" fillId="2" borderId="1">
      <alignment horizontal="right" vertical="top" wrapText="1"/>
    </xf>
    <xf numFmtId="0" fontId="32" fillId="2" borderId="2"/>
    <xf numFmtId="0" fontId="35" fillId="2" borderId="1">
      <alignment horizontal="left" vertical="top" wrapText="1"/>
    </xf>
    <xf numFmtId="165" fontId="35" fillId="2" borderId="1">
      <alignment horizontal="right" vertical="top" wrapText="1"/>
    </xf>
    <xf numFmtId="166" fontId="35" fillId="2" borderId="1">
      <alignment horizontal="right" vertical="top" wrapText="1"/>
    </xf>
    <xf numFmtId="0" fontId="32" fillId="2" borderId="3"/>
    <xf numFmtId="165" fontId="33" fillId="2" borderId="1">
      <alignment horizontal="right" vertical="top" wrapText="1"/>
    </xf>
    <xf numFmtId="166" fontId="33" fillId="2" borderId="1">
      <alignment horizontal="right" vertical="top" wrapText="1"/>
    </xf>
    <xf numFmtId="0" fontId="38" fillId="2" borderId="1">
      <alignment horizontal="left" vertical="top" wrapText="1"/>
    </xf>
    <xf numFmtId="0" fontId="37" fillId="2" borderId="1" applyAlignment="0"/>
    <xf numFmtId="0" fontId="39" fillId="2" borderId="1">
      <alignment horizontal="left" vertical="top" wrapText="1"/>
    </xf>
    <xf numFmtId="0" fontId="38" fillId="2" borderId="1">
      <alignment horizontal="right" vertical="top" wrapText="1"/>
    </xf>
    <xf numFmtId="0" fontId="37" fillId="2" borderId="2"/>
    <xf numFmtId="0" fontId="40" fillId="2" borderId="1">
      <alignment horizontal="left" vertical="top" wrapText="1"/>
    </xf>
    <xf numFmtId="165" fontId="40" fillId="2" borderId="1">
      <alignment horizontal="right" vertical="top" wrapText="1"/>
    </xf>
    <xf numFmtId="166" fontId="40" fillId="2" borderId="1">
      <alignment horizontal="right" vertical="top" wrapText="1"/>
    </xf>
    <xf numFmtId="0" fontId="37" fillId="2" borderId="3"/>
    <xf numFmtId="165" fontId="38" fillId="2" borderId="1">
      <alignment horizontal="right" vertical="top" wrapText="1"/>
    </xf>
    <xf numFmtId="166" fontId="38" fillId="2" borderId="1">
      <alignment horizontal="right" vertical="top" wrapText="1"/>
    </xf>
    <xf numFmtId="0" fontId="7" fillId="2" borderId="3"/>
    <xf numFmtId="165" fontId="3" fillId="2" borderId="1">
      <alignment horizontal="right" vertical="top" wrapText="1"/>
    </xf>
    <xf numFmtId="164" fontId="7" fillId="2" borderId="1" applyFont="0" applyFill="0" applyBorder="0" applyAlignment="0" applyProtection="0"/>
    <xf numFmtId="0" fontId="7" fillId="2" borderId="1" applyAlignment="0"/>
    <xf numFmtId="0" fontId="7" fillId="2" borderId="1" applyAlignment="0"/>
    <xf numFmtId="0" fontId="38" fillId="2" borderId="1">
      <alignment horizontal="left" vertical="top" wrapText="1"/>
    </xf>
    <xf numFmtId="0" fontId="37" fillId="2" borderId="1" applyAlignment="0"/>
    <xf numFmtId="0" fontId="39" fillId="2" borderId="1">
      <alignment horizontal="left" vertical="top" wrapText="1"/>
    </xf>
    <xf numFmtId="0" fontId="38" fillId="2" borderId="1">
      <alignment horizontal="right" vertical="top" wrapText="1"/>
    </xf>
    <xf numFmtId="0" fontId="37" fillId="2" borderId="2"/>
    <xf numFmtId="0" fontId="40" fillId="2" borderId="1">
      <alignment horizontal="left" vertical="top" wrapText="1"/>
    </xf>
    <xf numFmtId="165" fontId="40" fillId="2" borderId="1">
      <alignment horizontal="right" vertical="top" wrapText="1"/>
    </xf>
    <xf numFmtId="0" fontId="37" fillId="2" borderId="3"/>
    <xf numFmtId="165" fontId="38" fillId="2" borderId="1">
      <alignment horizontal="right" vertical="top" wrapText="1"/>
    </xf>
    <xf numFmtId="0" fontId="1" fillId="2" borderId="1"/>
    <xf numFmtId="0" fontId="37" fillId="2" borderId="3"/>
    <xf numFmtId="165" fontId="38" fillId="2" borderId="1">
      <alignment horizontal="right" vertical="top" wrapText="1"/>
    </xf>
  </cellStyleXfs>
  <cellXfs count="279">
    <xf numFmtId="0" fontId="0" fillId="0" borderId="0" xfId="0"/>
    <xf numFmtId="0" fontId="17" fillId="2" borderId="1" xfId="30" applyFont="1" applyAlignment="1"/>
    <xf numFmtId="0" fontId="26" fillId="2" borderId="1" xfId="68" applyFont="1" applyAlignment="1">
      <alignment horizontal="center"/>
    </xf>
    <xf numFmtId="0" fontId="26" fillId="2" borderId="1" xfId="68" applyFont="1" applyAlignment="1"/>
    <xf numFmtId="0" fontId="26" fillId="2" borderId="1" xfId="48" applyFont="1" applyAlignment="1"/>
    <xf numFmtId="0" fontId="4" fillId="2" borderId="1" xfId="68" applyFont="1" applyAlignment="1"/>
    <xf numFmtId="0" fontId="17" fillId="2" borderId="1" xfId="68" applyFont="1" applyAlignment="1"/>
    <xf numFmtId="0" fontId="4" fillId="2" borderId="1" xfId="9" applyFont="1" applyAlignment="1">
      <alignment horizontal="center" vertical="top"/>
    </xf>
    <xf numFmtId="0" fontId="26" fillId="2" borderId="1" xfId="48" applyFont="1" applyAlignment="1">
      <alignment horizontal="center"/>
    </xf>
    <xf numFmtId="0" fontId="36" fillId="2" borderId="1" xfId="92" applyFont="1" applyAlignment="1"/>
    <xf numFmtId="39" fontId="26" fillId="2" borderId="1" xfId="48" applyNumberFormat="1" applyFont="1" applyAlignment="1"/>
    <xf numFmtId="0" fontId="36" fillId="2" borderId="2" xfId="106" applyFont="1"/>
    <xf numFmtId="0" fontId="36" fillId="2" borderId="3" xfId="110" applyFont="1"/>
    <xf numFmtId="0" fontId="36" fillId="2" borderId="1" xfId="103" applyFont="1" applyAlignment="1"/>
    <xf numFmtId="0" fontId="4" fillId="2" borderId="1" xfId="102" applyFont="1" applyAlignment="1">
      <alignment vertical="top"/>
    </xf>
    <xf numFmtId="0" fontId="27" fillId="2" borderId="1" xfId="104" applyFont="1" applyAlignment="1">
      <alignment vertical="top"/>
    </xf>
    <xf numFmtId="0" fontId="4" fillId="2" borderId="1" xfId="105" applyFont="1" applyAlignment="1">
      <alignment horizontal="right" vertical="top"/>
    </xf>
    <xf numFmtId="165" fontId="4" fillId="2" borderId="1" xfId="111" applyFont="1" applyAlignment="1">
      <alignment horizontal="right" vertical="top"/>
    </xf>
    <xf numFmtId="0" fontId="4" fillId="2" borderId="1" xfId="102" applyFont="1" applyAlignment="1">
      <alignment horizontal="left" vertical="top"/>
    </xf>
    <xf numFmtId="0" fontId="36" fillId="2" borderId="4" xfId="103" applyFont="1" applyBorder="1" applyAlignment="1"/>
    <xf numFmtId="164" fontId="36" fillId="2" borderId="2" xfId="15" applyFont="1" applyFill="1" applyBorder="1" applyAlignment="1"/>
    <xf numFmtId="164" fontId="36" fillId="2" borderId="1" xfId="15" applyFont="1" applyFill="1" applyBorder="1" applyAlignment="1"/>
    <xf numFmtId="43" fontId="26" fillId="2" borderId="1" xfId="48" applyNumberFormat="1" applyFont="1" applyAlignment="1"/>
    <xf numFmtId="43" fontId="36" fillId="2" borderId="1" xfId="92" applyNumberFormat="1" applyFont="1" applyAlignment="1"/>
    <xf numFmtId="0" fontId="4" fillId="2" borderId="1" xfId="2" applyFont="1" applyAlignment="1">
      <alignment vertical="top"/>
    </xf>
    <xf numFmtId="0" fontId="36" fillId="2" borderId="1" xfId="48" applyFont="1" applyAlignment="1"/>
    <xf numFmtId="0" fontId="27" fillId="2" borderId="1" xfId="8" applyFont="1" applyAlignment="1">
      <alignment vertical="top"/>
    </xf>
    <xf numFmtId="0" fontId="4" fillId="2" borderId="1" xfId="9" applyFont="1" applyAlignment="1">
      <alignment horizontal="right" vertical="top"/>
    </xf>
    <xf numFmtId="0" fontId="36" fillId="2" borderId="2" xfId="51" applyFont="1"/>
    <xf numFmtId="0" fontId="26" fillId="2" borderId="1" xfId="6" applyFont="1" applyAlignment="1">
      <alignment vertical="top"/>
    </xf>
    <xf numFmtId="165" fontId="26" fillId="2" borderId="1" xfId="12" applyFont="1" applyAlignment="1">
      <alignment horizontal="right" vertical="top"/>
    </xf>
    <xf numFmtId="0" fontId="36" fillId="2" borderId="3" xfId="55" applyFont="1"/>
    <xf numFmtId="165" fontId="4" fillId="2" borderId="1" xfId="45" applyFont="1" applyAlignment="1">
      <alignment horizontal="right" vertical="top"/>
    </xf>
    <xf numFmtId="43" fontId="36" fillId="2" borderId="1" xfId="48" applyNumberFormat="1" applyFont="1" applyAlignment="1"/>
    <xf numFmtId="0" fontId="26" fillId="2" borderId="1" xfId="2" applyFont="1" applyAlignment="1">
      <alignment vertical="top"/>
    </xf>
    <xf numFmtId="0" fontId="36" fillId="2" borderId="1" xfId="48" applyFont="1" applyAlignment="1">
      <alignment horizontal="center"/>
    </xf>
    <xf numFmtId="0" fontId="36" fillId="2" borderId="2" xfId="51" applyFont="1" applyAlignment="1">
      <alignment horizontal="center"/>
    </xf>
    <xf numFmtId="0" fontId="36" fillId="2" borderId="3" xfId="55" applyFont="1" applyAlignment="1">
      <alignment horizontal="center"/>
    </xf>
    <xf numFmtId="39" fontId="26" fillId="2" borderId="1" xfId="48" applyNumberFormat="1" applyFont="1" applyAlignment="1">
      <alignment horizontal="center"/>
    </xf>
    <xf numFmtId="0" fontId="26" fillId="2" borderId="4" xfId="6" applyFont="1" applyBorder="1" applyAlignment="1">
      <alignment vertical="top"/>
    </xf>
    <xf numFmtId="0" fontId="26" fillId="2" borderId="4" xfId="2" applyFont="1" applyBorder="1" applyAlignment="1">
      <alignment vertical="top"/>
    </xf>
    <xf numFmtId="0" fontId="36" fillId="2" borderId="4" xfId="48" applyFont="1" applyBorder="1" applyAlignment="1"/>
    <xf numFmtId="0" fontId="36" fillId="2" borderId="4" xfId="48" applyFont="1" applyBorder="1" applyAlignment="1">
      <alignment horizontal="center"/>
    </xf>
    <xf numFmtId="43" fontId="36" fillId="2" borderId="4" xfId="48" applyNumberFormat="1" applyFont="1" applyBorder="1" applyAlignment="1"/>
    <xf numFmtId="165" fontId="26" fillId="2" borderId="4" xfId="12" applyFont="1" applyBorder="1" applyAlignment="1">
      <alignment horizontal="right" vertical="top"/>
    </xf>
    <xf numFmtId="165" fontId="26" fillId="2" borderId="1" xfId="45" applyFont="1" applyAlignment="1">
      <alignment horizontal="right" vertical="top"/>
    </xf>
    <xf numFmtId="0" fontId="36" fillId="2" borderId="1" xfId="51" applyFont="1" applyBorder="1"/>
    <xf numFmtId="0" fontId="36" fillId="2" borderId="1" xfId="51" applyFont="1" applyBorder="1" applyAlignment="1">
      <alignment horizontal="center"/>
    </xf>
    <xf numFmtId="0" fontId="4" fillId="2" borderId="4" xfId="2" applyFont="1" applyBorder="1" applyAlignment="1">
      <alignment vertical="top"/>
    </xf>
    <xf numFmtId="165" fontId="4" fillId="2" borderId="4" xfId="45" applyFont="1" applyBorder="1" applyAlignment="1">
      <alignment horizontal="right" vertical="top"/>
    </xf>
    <xf numFmtId="0" fontId="4" fillId="2" borderId="1" xfId="102" applyFont="1" applyAlignment="1">
      <alignment horizontal="center" vertical="top"/>
    </xf>
    <xf numFmtId="0" fontId="36" fillId="2" borderId="1" xfId="103" applyFont="1" applyAlignment="1">
      <alignment horizontal="center"/>
    </xf>
    <xf numFmtId="0" fontId="36" fillId="2" borderId="2" xfId="106" applyFont="1" applyAlignment="1">
      <alignment horizontal="center"/>
    </xf>
    <xf numFmtId="0" fontId="36" fillId="2" borderId="3" xfId="110" applyFont="1" applyAlignment="1">
      <alignment horizontal="center"/>
    </xf>
    <xf numFmtId="165" fontId="26" fillId="2" borderId="1" xfId="111" applyFont="1" applyAlignment="1">
      <alignment horizontal="right" vertical="top"/>
    </xf>
    <xf numFmtId="0" fontId="26" fillId="2" borderId="1" xfId="102" applyFont="1" applyAlignment="1">
      <alignment vertical="top"/>
    </xf>
    <xf numFmtId="0" fontId="26" fillId="2" borderId="1" xfId="102" applyFont="1" applyAlignment="1">
      <alignment horizontal="center" vertical="top"/>
    </xf>
    <xf numFmtId="0" fontId="26" fillId="2" borderId="4" xfId="102" applyFont="1" applyBorder="1" applyAlignment="1">
      <alignment vertical="top"/>
    </xf>
    <xf numFmtId="0" fontId="36" fillId="2" borderId="4" xfId="103" applyFont="1" applyBorder="1" applyAlignment="1">
      <alignment horizontal="center"/>
    </xf>
    <xf numFmtId="165" fontId="26" fillId="2" borderId="4" xfId="108" applyFont="1" applyBorder="1" applyAlignment="1">
      <alignment horizontal="right" vertical="top"/>
    </xf>
    <xf numFmtId="165" fontId="4" fillId="2" borderId="4" xfId="111" applyFont="1" applyBorder="1" applyAlignment="1">
      <alignment horizontal="right" vertical="top"/>
    </xf>
    <xf numFmtId="0" fontId="4" fillId="2" borderId="4" xfId="102" applyFont="1" applyBorder="1" applyAlignment="1">
      <alignment vertical="top"/>
    </xf>
    <xf numFmtId="164" fontId="26" fillId="2" borderId="4" xfId="15" applyFont="1" applyFill="1" applyBorder="1" applyAlignment="1">
      <alignment horizontal="right" vertical="top"/>
    </xf>
    <xf numFmtId="0" fontId="4" fillId="2" borderId="6" xfId="102" applyFont="1" applyBorder="1" applyAlignment="1">
      <alignment vertical="top"/>
    </xf>
    <xf numFmtId="0" fontId="36" fillId="2" borderId="6" xfId="103" applyFont="1" applyBorder="1" applyAlignment="1"/>
    <xf numFmtId="0" fontId="36" fillId="2" borderId="6" xfId="103" applyFont="1" applyBorder="1" applyAlignment="1">
      <alignment horizontal="center"/>
    </xf>
    <xf numFmtId="165" fontId="4" fillId="2" borderId="6" xfId="111" applyFont="1" applyBorder="1" applyAlignment="1">
      <alignment horizontal="right" vertical="top"/>
    </xf>
    <xf numFmtId="43" fontId="4" fillId="2" borderId="1" xfId="48" applyNumberFormat="1" applyFont="1" applyAlignment="1">
      <alignment horizontal="center"/>
    </xf>
    <xf numFmtId="0" fontId="26" fillId="2" borderId="1" xfId="48" applyFont="1"/>
    <xf numFmtId="0" fontId="4" fillId="2" borderId="1" xfId="50" applyFont="1" applyAlignment="1">
      <alignment horizontal="center" vertical="top" wrapText="1"/>
    </xf>
    <xf numFmtId="0" fontId="4" fillId="2" borderId="1" xfId="50" applyFont="1">
      <alignment horizontal="right" vertical="top" wrapText="1"/>
    </xf>
    <xf numFmtId="0" fontId="26" fillId="2" borderId="2" xfId="51" applyFont="1" applyAlignment="1">
      <alignment horizontal="center"/>
    </xf>
    <xf numFmtId="0" fontId="26" fillId="2" borderId="2" xfId="51" applyFont="1"/>
    <xf numFmtId="0" fontId="4" fillId="2" borderId="1" xfId="47" applyFont="1" applyAlignment="1">
      <alignment vertical="top"/>
    </xf>
    <xf numFmtId="165" fontId="26" fillId="2" borderId="1" xfId="53" applyFont="1">
      <alignment horizontal="right" vertical="top" wrapText="1"/>
    </xf>
    <xf numFmtId="0" fontId="26" fillId="2" borderId="3" xfId="113" applyFont="1" applyAlignment="1">
      <alignment horizontal="center"/>
    </xf>
    <xf numFmtId="0" fontId="26" fillId="2" borderId="3" xfId="113" applyFont="1"/>
    <xf numFmtId="165" fontId="4" fillId="2" borderId="1" xfId="114" applyFont="1">
      <alignment horizontal="right" vertical="top" wrapText="1"/>
    </xf>
    <xf numFmtId="164" fontId="26" fillId="2" borderId="1" xfId="115" applyFont="1" applyFill="1" applyBorder="1" applyAlignment="1"/>
    <xf numFmtId="0" fontId="26" fillId="2" borderId="1" xfId="47" applyFont="1" applyAlignment="1">
      <alignment vertical="top"/>
    </xf>
    <xf numFmtId="0" fontId="26" fillId="2" borderId="4" xfId="48" applyFont="1" applyBorder="1"/>
    <xf numFmtId="0" fontId="26" fillId="2" borderId="4" xfId="47" applyFont="1" applyBorder="1" applyAlignment="1">
      <alignment vertical="top"/>
    </xf>
    <xf numFmtId="0" fontId="26" fillId="2" borderId="4" xfId="48" applyFont="1" applyBorder="1" applyAlignment="1">
      <alignment horizontal="center"/>
    </xf>
    <xf numFmtId="164" fontId="26" fillId="2" borderId="4" xfId="115" applyFont="1" applyFill="1" applyBorder="1" applyAlignment="1"/>
    <xf numFmtId="165" fontId="26" fillId="2" borderId="4" xfId="53" applyFont="1" applyBorder="1">
      <alignment horizontal="right" vertical="top" wrapText="1"/>
    </xf>
    <xf numFmtId="0" fontId="4" fillId="2" borderId="4" xfId="47" applyFont="1" applyBorder="1">
      <alignment horizontal="left" vertical="top" wrapText="1"/>
    </xf>
    <xf numFmtId="164" fontId="4" fillId="2" borderId="4" xfId="48" applyNumberFormat="1" applyFont="1" applyBorder="1" applyAlignment="1"/>
    <xf numFmtId="165" fontId="4" fillId="2" borderId="4" xfId="53" applyFont="1" applyBorder="1">
      <alignment horizontal="right" vertical="top" wrapText="1"/>
    </xf>
    <xf numFmtId="0" fontId="4" fillId="2" borderId="1" xfId="47" applyFont="1">
      <alignment horizontal="left" vertical="top" wrapText="1"/>
    </xf>
    <xf numFmtId="164" fontId="36" fillId="2" borderId="1" xfId="115" applyFont="1" applyFill="1" applyBorder="1" applyAlignment="1"/>
    <xf numFmtId="0" fontId="4" fillId="2" borderId="5" xfId="48" applyFont="1" applyBorder="1"/>
    <xf numFmtId="0" fontId="26" fillId="2" borderId="5" xfId="48" applyFont="1" applyBorder="1"/>
    <xf numFmtId="0" fontId="26" fillId="2" borderId="5" xfId="48" applyFont="1" applyBorder="1" applyAlignment="1">
      <alignment horizontal="center"/>
    </xf>
    <xf numFmtId="164" fontId="4" fillId="2" borderId="5" xfId="48" applyNumberFormat="1" applyFont="1" applyBorder="1"/>
    <xf numFmtId="164" fontId="26" fillId="2" borderId="1" xfId="48" applyNumberFormat="1" applyFont="1"/>
    <xf numFmtId="0" fontId="17" fillId="2" borderId="1" xfId="116" applyFont="1" applyAlignment="1"/>
    <xf numFmtId="164" fontId="26" fillId="2" borderId="1" xfId="116" applyNumberFormat="1" applyFont="1" applyAlignment="1">
      <alignment horizontal="center"/>
    </xf>
    <xf numFmtId="43" fontId="26" fillId="2" borderId="1" xfId="116" applyNumberFormat="1" applyFont="1" applyAlignment="1">
      <alignment horizontal="center"/>
    </xf>
    <xf numFmtId="0" fontId="26" fillId="2" borderId="1" xfId="117" applyFont="1" applyAlignment="1"/>
    <xf numFmtId="0" fontId="26" fillId="2" borderId="1" xfId="117" applyFont="1" applyAlignment="1">
      <alignment horizontal="center"/>
    </xf>
    <xf numFmtId="0" fontId="4" fillId="2" borderId="1" xfId="117" applyFont="1" applyAlignment="1"/>
    <xf numFmtId="0" fontId="17" fillId="2" borderId="1" xfId="117" applyFont="1" applyAlignment="1"/>
    <xf numFmtId="0" fontId="4" fillId="2" borderId="1" xfId="118" applyFont="1" applyAlignment="1">
      <alignment vertical="top"/>
    </xf>
    <xf numFmtId="0" fontId="26" fillId="2" borderId="1" xfId="119" applyFont="1" applyAlignment="1"/>
    <xf numFmtId="0" fontId="26" fillId="2" borderId="1" xfId="119" applyFont="1" applyAlignment="1">
      <alignment horizontal="center"/>
    </xf>
    <xf numFmtId="0" fontId="27" fillId="2" borderId="1" xfId="120" applyFont="1" applyAlignment="1">
      <alignment vertical="top"/>
    </xf>
    <xf numFmtId="0" fontId="4" fillId="2" borderId="1" xfId="119" applyFont="1" applyAlignment="1">
      <alignment horizontal="center"/>
    </xf>
    <xf numFmtId="0" fontId="4" fillId="2" borderId="1" xfId="121" applyFont="1" applyAlignment="1">
      <alignment horizontal="right" vertical="top"/>
    </xf>
    <xf numFmtId="0" fontId="26" fillId="2" borderId="2" xfId="122" applyFont="1"/>
    <xf numFmtId="0" fontId="26" fillId="2" borderId="2" xfId="122" applyFont="1" applyAlignment="1">
      <alignment horizontal="center"/>
    </xf>
    <xf numFmtId="0" fontId="26" fillId="2" borderId="1" xfId="123" applyFont="1" applyAlignment="1">
      <alignment vertical="top"/>
    </xf>
    <xf numFmtId="165" fontId="26" fillId="2" borderId="1" xfId="124" applyFont="1" applyAlignment="1">
      <alignment horizontal="right" vertical="top"/>
    </xf>
    <xf numFmtId="0" fontId="26" fillId="2" borderId="1" xfId="123" applyFont="1" applyAlignment="1">
      <alignment horizontal="left" vertical="top"/>
    </xf>
    <xf numFmtId="0" fontId="26" fillId="2" borderId="1" xfId="123" applyFont="1" applyAlignment="1">
      <alignment horizontal="center" vertical="top"/>
    </xf>
    <xf numFmtId="0" fontId="26" fillId="2" borderId="3" xfId="125" applyFont="1"/>
    <xf numFmtId="0" fontId="26" fillId="2" borderId="3" xfId="125" applyFont="1" applyAlignment="1">
      <alignment horizontal="center"/>
    </xf>
    <xf numFmtId="165" fontId="4" fillId="2" borderId="1" xfId="126" applyFont="1" applyAlignment="1">
      <alignment horizontal="right" vertical="top"/>
    </xf>
    <xf numFmtId="164" fontId="26" fillId="2" borderId="2" xfId="115" applyFont="1" applyFill="1" applyBorder="1" applyAlignment="1"/>
    <xf numFmtId="0" fontId="17" fillId="2" borderId="1" xfId="127" applyFont="1"/>
    <xf numFmtId="0" fontId="4" fillId="2" borderId="1" xfId="119" applyFont="1" applyAlignment="1"/>
    <xf numFmtId="0" fontId="17" fillId="2" borderId="1" xfId="119" applyFont="1" applyAlignment="1"/>
    <xf numFmtId="0" fontId="36" fillId="2" borderId="1" xfId="119" applyFont="1" applyAlignment="1"/>
    <xf numFmtId="0" fontId="36" fillId="2" borderId="2" xfId="122" applyFont="1"/>
    <xf numFmtId="0" fontId="36" fillId="2" borderId="3" xfId="128" applyFont="1"/>
    <xf numFmtId="0" fontId="26" fillId="2" borderId="3" xfId="128" applyFont="1" applyAlignment="1">
      <alignment horizontal="center"/>
    </xf>
    <xf numFmtId="165" fontId="4" fillId="2" borderId="1" xfId="129" applyFont="1" applyAlignment="1">
      <alignment horizontal="right" vertical="top"/>
    </xf>
    <xf numFmtId="167" fontId="36" fillId="2" borderId="3" xfId="128" applyNumberFormat="1" applyFont="1"/>
    <xf numFmtId="0" fontId="4" fillId="2" borderId="1" xfId="118" applyFont="1" applyAlignment="1">
      <alignment horizontal="left" vertical="top"/>
    </xf>
    <xf numFmtId="0" fontId="4" fillId="2" borderId="1" xfId="118" applyFont="1" applyAlignment="1">
      <alignment horizontal="center" vertical="top"/>
    </xf>
    <xf numFmtId="165" fontId="36" fillId="2" borderId="1" xfId="119" applyNumberFormat="1" applyFont="1" applyAlignment="1"/>
    <xf numFmtId="0" fontId="4" fillId="2" borderId="4" xfId="118" applyFont="1" applyBorder="1" applyAlignment="1">
      <alignment vertical="top"/>
    </xf>
    <xf numFmtId="0" fontId="36" fillId="2" borderId="4" xfId="119" applyFont="1" applyBorder="1" applyAlignment="1"/>
    <xf numFmtId="0" fontId="26" fillId="2" borderId="4" xfId="119" applyFont="1" applyBorder="1" applyAlignment="1">
      <alignment horizontal="center"/>
    </xf>
    <xf numFmtId="165" fontId="26" fillId="2" borderId="4" xfId="124" applyFont="1" applyBorder="1" applyAlignment="1">
      <alignment horizontal="right" vertical="top"/>
    </xf>
    <xf numFmtId="164" fontId="36" fillId="2" borderId="2" xfId="115" applyFont="1" applyFill="1" applyBorder="1" applyAlignment="1"/>
    <xf numFmtId="164" fontId="36" fillId="2" borderId="1" xfId="115" applyFont="1" applyFill="1" applyBorder="1" applyAlignment="1">
      <alignment horizontal="right"/>
    </xf>
    <xf numFmtId="4" fontId="26" fillId="2" borderId="1" xfId="115" applyNumberFormat="1" applyFont="1" applyFill="1" applyBorder="1" applyAlignment="1"/>
    <xf numFmtId="4" fontId="36" fillId="2" borderId="1" xfId="115" applyNumberFormat="1" applyFont="1" applyFill="1" applyBorder="1" applyAlignment="1"/>
    <xf numFmtId="4" fontId="26" fillId="2" borderId="1" xfId="115" applyNumberFormat="1" applyFont="1" applyFill="1" applyBorder="1" applyAlignment="1">
      <alignment horizontal="right" vertical="top" wrapText="1"/>
    </xf>
    <xf numFmtId="4" fontId="26" fillId="2" borderId="1" xfId="48" applyNumberFormat="1" applyFont="1"/>
    <xf numFmtId="4" fontId="26" fillId="2" borderId="3" xfId="115" applyNumberFormat="1" applyFont="1" applyFill="1" applyBorder="1" applyAlignment="1"/>
    <xf numFmtId="4" fontId="4" fillId="2" borderId="1" xfId="115" applyNumberFormat="1" applyFont="1" applyFill="1" applyBorder="1" applyAlignment="1">
      <alignment horizontal="right" vertical="top" wrapText="1"/>
    </xf>
    <xf numFmtId="164" fontId="26" fillId="2" borderId="4" xfId="115" applyFont="1" applyFill="1" applyBorder="1" applyAlignment="1">
      <alignment horizontal="right" vertical="top" wrapText="1"/>
    </xf>
    <xf numFmtId="164" fontId="4" fillId="2" borderId="4" xfId="115" applyFont="1" applyFill="1" applyBorder="1" applyAlignment="1"/>
    <xf numFmtId="4" fontId="4" fillId="2" borderId="4" xfId="115" applyNumberFormat="1" applyFont="1" applyFill="1" applyBorder="1" applyAlignment="1"/>
    <xf numFmtId="4" fontId="4" fillId="2" borderId="1" xfId="115" applyNumberFormat="1" applyFont="1" applyFill="1" applyBorder="1" applyAlignment="1"/>
    <xf numFmtId="4" fontId="4" fillId="2" borderId="5" xfId="115" applyNumberFormat="1" applyFont="1" applyFill="1" applyBorder="1"/>
    <xf numFmtId="164" fontId="26" fillId="2" borderId="1" xfId="115" applyFont="1" applyFill="1" applyBorder="1"/>
    <xf numFmtId="0" fontId="4" fillId="2" borderId="1" xfId="117" applyFont="1" applyAlignment="1">
      <alignment horizontal="center"/>
    </xf>
    <xf numFmtId="4" fontId="26" fillId="2" borderId="1" xfId="115" applyNumberFormat="1" applyFont="1" applyFill="1" applyBorder="1"/>
    <xf numFmtId="0" fontId="41" fillId="2" borderId="1" xfId="119" applyFont="1" applyAlignment="1"/>
    <xf numFmtId="165" fontId="4" fillId="2" borderId="1" xfId="124" applyFont="1" applyAlignment="1">
      <alignment horizontal="right" vertical="top"/>
    </xf>
    <xf numFmtId="165" fontId="4" fillId="2" borderId="1" xfId="119" applyNumberFormat="1" applyFont="1" applyAlignment="1"/>
    <xf numFmtId="39" fontId="36" fillId="2" borderId="1" xfId="119" applyNumberFormat="1" applyFont="1" applyAlignment="1"/>
    <xf numFmtId="0" fontId="4" fillId="2" borderId="1" xfId="123" applyFont="1" applyAlignment="1">
      <alignment vertical="top"/>
    </xf>
    <xf numFmtId="164" fontId="26" fillId="2" borderId="1" xfId="15" applyFont="1" applyFill="1" applyBorder="1" applyAlignment="1">
      <alignment horizontal="right" vertical="top"/>
    </xf>
    <xf numFmtId="0" fontId="43" fillId="2" borderId="1" xfId="18" applyFont="1"/>
    <xf numFmtId="0" fontId="43" fillId="0" borderId="1" xfId="18" applyFont="1" applyFill="1"/>
    <xf numFmtId="0" fontId="42" fillId="2" borderId="1" xfId="20" applyFont="1">
      <alignment horizontal="right" vertical="top" wrapText="1"/>
    </xf>
    <xf numFmtId="0" fontId="42" fillId="0" borderId="1" xfId="20" applyFont="1" applyFill="1">
      <alignment horizontal="right" vertical="top" wrapText="1"/>
    </xf>
    <xf numFmtId="0" fontId="43" fillId="2" borderId="2" xfId="21" applyFont="1"/>
    <xf numFmtId="0" fontId="43" fillId="0" borderId="2" xfId="21" applyFont="1" applyFill="1"/>
    <xf numFmtId="0" fontId="42" fillId="2" borderId="1" xfId="17" applyFont="1" applyAlignment="1">
      <alignment vertical="top"/>
    </xf>
    <xf numFmtId="0" fontId="43" fillId="2" borderId="1" xfId="18" applyFont="1" applyAlignment="1"/>
    <xf numFmtId="43" fontId="43" fillId="2" borderId="1" xfId="18" applyNumberFormat="1" applyFont="1" applyAlignment="1"/>
    <xf numFmtId="0" fontId="43" fillId="0" borderId="1" xfId="18" applyFont="1" applyFill="1" applyAlignment="1"/>
    <xf numFmtId="0" fontId="43" fillId="2" borderId="1" xfId="17" applyFont="1" applyAlignment="1">
      <alignment vertical="top"/>
    </xf>
    <xf numFmtId="164" fontId="43" fillId="2" borderId="1" xfId="15" applyFont="1" applyFill="1" applyBorder="1" applyAlignment="1">
      <alignment horizontal="right"/>
    </xf>
    <xf numFmtId="164" fontId="45" fillId="2" borderId="1" xfId="15" applyFont="1" applyFill="1" applyBorder="1" applyAlignment="1">
      <alignment horizontal="right"/>
    </xf>
    <xf numFmtId="164" fontId="43" fillId="2" borderId="1" xfId="15" applyFont="1" applyFill="1" applyBorder="1" applyAlignment="1"/>
    <xf numFmtId="164" fontId="43" fillId="2" borderId="1" xfId="115" applyFont="1" applyFill="1" applyBorder="1" applyAlignment="1"/>
    <xf numFmtId="4" fontId="43" fillId="2" borderId="1" xfId="15" applyNumberFormat="1" applyFont="1" applyFill="1" applyBorder="1" applyAlignment="1"/>
    <xf numFmtId="164" fontId="43" fillId="2" borderId="1" xfId="15" applyFont="1" applyFill="1" applyBorder="1" applyAlignment="1">
      <alignment horizontal="right" vertical="top" wrapText="1"/>
    </xf>
    <xf numFmtId="164" fontId="45" fillId="2" borderId="1" xfId="15" applyFont="1" applyFill="1" applyBorder="1" applyAlignment="1"/>
    <xf numFmtId="0" fontId="43" fillId="2" borderId="4" xfId="18" applyFont="1" applyBorder="1"/>
    <xf numFmtId="164" fontId="43" fillId="2" borderId="4" xfId="15" applyFont="1" applyFill="1" applyBorder="1" applyAlignment="1"/>
    <xf numFmtId="4" fontId="43" fillId="2" borderId="4" xfId="15" applyNumberFormat="1" applyFont="1" applyFill="1" applyBorder="1" applyAlignment="1"/>
    <xf numFmtId="0" fontId="42" fillId="2" borderId="4" xfId="18" applyFont="1" applyBorder="1" applyAlignment="1"/>
    <xf numFmtId="164" fontId="42" fillId="2" borderId="4" xfId="15" applyFont="1" applyFill="1" applyBorder="1" applyAlignment="1"/>
    <xf numFmtId="4" fontId="43" fillId="0" borderId="1" xfId="15" applyNumberFormat="1" applyFont="1" applyFill="1" applyBorder="1" applyAlignment="1"/>
    <xf numFmtId="4" fontId="45" fillId="2" borderId="1" xfId="15" applyNumberFormat="1" applyFont="1" applyFill="1" applyBorder="1" applyAlignment="1"/>
    <xf numFmtId="4" fontId="43" fillId="2" borderId="1" xfId="18" applyNumberFormat="1" applyFont="1"/>
    <xf numFmtId="0" fontId="43" fillId="2" borderId="1" xfId="22" applyFont="1" applyAlignment="1">
      <alignment vertical="top"/>
    </xf>
    <xf numFmtId="4" fontId="43" fillId="2" borderId="1" xfId="15" applyNumberFormat="1" applyFont="1" applyFill="1" applyBorder="1" applyAlignment="1">
      <alignment horizontal="right" vertical="top" wrapText="1"/>
    </xf>
    <xf numFmtId="4" fontId="45" fillId="2" borderId="1" xfId="15" applyNumberFormat="1" applyFont="1" applyFill="1" applyBorder="1" applyAlignment="1">
      <alignment horizontal="right" vertical="top" wrapText="1"/>
    </xf>
    <xf numFmtId="4" fontId="43" fillId="0" borderId="4" xfId="15" applyNumberFormat="1" applyFont="1" applyFill="1" applyBorder="1" applyAlignment="1"/>
    <xf numFmtId="4" fontId="42" fillId="2" borderId="1" xfId="15" applyNumberFormat="1" applyFont="1" applyFill="1" applyBorder="1" applyAlignment="1">
      <alignment horizontal="right" vertical="top" wrapText="1"/>
    </xf>
    <xf numFmtId="4" fontId="43" fillId="2" borderId="3" xfId="15" applyNumberFormat="1" applyFont="1" applyFill="1" applyBorder="1" applyAlignment="1"/>
    <xf numFmtId="4" fontId="43" fillId="0" borderId="3" xfId="15" applyNumberFormat="1" applyFont="1" applyFill="1" applyBorder="1" applyAlignment="1"/>
    <xf numFmtId="0" fontId="42" fillId="2" borderId="1" xfId="17" applyFont="1">
      <alignment horizontal="left" vertical="top" wrapText="1"/>
    </xf>
    <xf numFmtId="0" fontId="43" fillId="2" borderId="1" xfId="17" applyFont="1">
      <alignment horizontal="left" vertical="top" wrapText="1"/>
    </xf>
    <xf numFmtId="164" fontId="45" fillId="0" borderId="1" xfId="15" applyFont="1" applyFill="1" applyBorder="1" applyAlignment="1"/>
    <xf numFmtId="0" fontId="42" fillId="2" borderId="4" xfId="17" applyFont="1" applyBorder="1">
      <alignment horizontal="left" vertical="top" wrapText="1"/>
    </xf>
    <xf numFmtId="0" fontId="43" fillId="2" borderId="4" xfId="22" applyFont="1" applyBorder="1" applyAlignment="1">
      <alignment vertical="top"/>
    </xf>
    <xf numFmtId="164" fontId="45" fillId="0" borderId="4" xfId="15" applyFont="1" applyFill="1" applyBorder="1" applyAlignment="1"/>
    <xf numFmtId="164" fontId="43" fillId="2" borderId="4" xfId="15" applyFont="1" applyFill="1" applyBorder="1" applyAlignment="1">
      <alignment horizontal="right" vertical="top" wrapText="1"/>
    </xf>
    <xf numFmtId="4" fontId="43" fillId="0" borderId="1" xfId="15" applyNumberFormat="1" applyFont="1" applyFill="1" applyBorder="1" applyAlignment="1">
      <alignment horizontal="right" vertical="top" wrapText="1"/>
    </xf>
    <xf numFmtId="0" fontId="43" fillId="2" borderId="4" xfId="17" applyFont="1" applyBorder="1">
      <alignment horizontal="left" vertical="top" wrapText="1"/>
    </xf>
    <xf numFmtId="0" fontId="43" fillId="2" borderId="4" xfId="17" applyFont="1" applyBorder="1" applyAlignment="1">
      <alignment vertical="top"/>
    </xf>
    <xf numFmtId="4" fontId="42" fillId="2" borderId="1" xfId="15" applyNumberFormat="1" applyFont="1" applyFill="1" applyBorder="1" applyAlignment="1"/>
    <xf numFmtId="4" fontId="42" fillId="0" borderId="1" xfId="15" applyNumberFormat="1" applyFont="1" applyFill="1" applyBorder="1" applyAlignment="1"/>
    <xf numFmtId="4" fontId="42" fillId="2" borderId="4" xfId="15" applyNumberFormat="1" applyFont="1" applyFill="1" applyBorder="1" applyAlignment="1"/>
    <xf numFmtId="4" fontId="42" fillId="0" borderId="4" xfId="15" applyNumberFormat="1" applyFont="1" applyFill="1" applyBorder="1" applyAlignment="1"/>
    <xf numFmtId="4" fontId="42" fillId="2" borderId="5" xfId="15" applyNumberFormat="1" applyFont="1" applyFill="1" applyBorder="1"/>
    <xf numFmtId="4" fontId="42" fillId="0" borderId="5" xfId="15" applyNumberFormat="1" applyFont="1" applyFill="1" applyBorder="1"/>
    <xf numFmtId="164" fontId="43" fillId="2" borderId="1" xfId="15" applyFont="1" applyFill="1" applyBorder="1"/>
    <xf numFmtId="0" fontId="43" fillId="2" borderId="1" xfId="68" applyFont="1" applyAlignment="1"/>
    <xf numFmtId="0" fontId="42" fillId="2" borderId="1" xfId="68" applyFont="1" applyAlignment="1">
      <alignment horizontal="center"/>
    </xf>
    <xf numFmtId="0" fontId="43" fillId="2" borderId="1" xfId="68" applyFont="1" applyAlignment="1">
      <alignment horizontal="center"/>
    </xf>
    <xf numFmtId="0" fontId="42" fillId="2" borderId="1" xfId="68" applyFont="1" applyAlignment="1"/>
    <xf numFmtId="0" fontId="46" fillId="2" borderId="1" xfId="68" applyFont="1" applyAlignment="1"/>
    <xf numFmtId="4" fontId="43" fillId="2" borderId="1" xfId="15" applyNumberFormat="1" applyFont="1" applyFill="1" applyBorder="1"/>
    <xf numFmtId="164" fontId="43" fillId="0" borderId="1" xfId="15" applyFont="1" applyFill="1" applyBorder="1"/>
    <xf numFmtId="164" fontId="26" fillId="2" borderId="1" xfId="15" applyFont="1" applyFill="1" applyBorder="1" applyAlignment="1"/>
    <xf numFmtId="39" fontId="36" fillId="2" borderId="2" xfId="106" applyNumberFormat="1" applyFont="1"/>
    <xf numFmtId="168" fontId="36" fillId="2" borderId="2" xfId="106" applyNumberFormat="1" applyFont="1"/>
    <xf numFmtId="0" fontId="26" fillId="2" borderId="4" xfId="123" applyFont="1" applyBorder="1" applyAlignment="1">
      <alignment vertical="top"/>
    </xf>
    <xf numFmtId="0" fontId="43" fillId="2" borderId="6" xfId="18" applyFont="1" applyBorder="1"/>
    <xf numFmtId="4" fontId="42" fillId="2" borderId="6" xfId="15" applyNumberFormat="1" applyFont="1" applyFill="1" applyBorder="1" applyAlignment="1">
      <alignment horizontal="right" vertical="top" wrapText="1"/>
    </xf>
    <xf numFmtId="0" fontId="42" fillId="2" borderId="6" xfId="17" applyFont="1" applyBorder="1" applyAlignment="1">
      <alignment vertical="top"/>
    </xf>
    <xf numFmtId="0" fontId="42" fillId="2" borderId="6" xfId="18" applyFont="1" applyBorder="1" applyAlignment="1"/>
    <xf numFmtId="164" fontId="42" fillId="2" borderId="6" xfId="15" applyFont="1" applyFill="1" applyBorder="1" applyAlignment="1"/>
    <xf numFmtId="0" fontId="26" fillId="2" borderId="6" xfId="48" applyFont="1" applyBorder="1"/>
    <xf numFmtId="4" fontId="26" fillId="2" borderId="6" xfId="115" applyNumberFormat="1" applyFont="1" applyFill="1" applyBorder="1" applyAlignment="1">
      <alignment horizontal="right" vertical="top" wrapText="1"/>
    </xf>
    <xf numFmtId="0" fontId="4" fillId="2" borderId="6" xfId="47" applyFont="1" applyBorder="1">
      <alignment horizontal="left" vertical="top" wrapText="1"/>
    </xf>
    <xf numFmtId="0" fontId="26" fillId="2" borderId="6" xfId="48" applyFont="1" applyBorder="1" applyAlignment="1"/>
    <xf numFmtId="164" fontId="26" fillId="2" borderId="6" xfId="115" applyFont="1" applyFill="1" applyBorder="1" applyAlignment="1"/>
    <xf numFmtId="164" fontId="26" fillId="2" borderId="6" xfId="115" applyFont="1" applyFill="1" applyBorder="1" applyAlignment="1">
      <alignment horizontal="right" vertical="top" wrapText="1"/>
    </xf>
    <xf numFmtId="43" fontId="26" fillId="2" borderId="1" xfId="48" applyNumberFormat="1" applyFont="1"/>
    <xf numFmtId="39" fontId="36" fillId="2" borderId="3" xfId="128" applyNumberFormat="1" applyFont="1"/>
    <xf numFmtId="164" fontId="36" fillId="2" borderId="3" xfId="15" applyFont="1" applyFill="1" applyBorder="1" applyAlignment="1"/>
    <xf numFmtId="39" fontId="26" fillId="2" borderId="1" xfId="119" applyNumberFormat="1" applyFont="1" applyAlignment="1"/>
    <xf numFmtId="39" fontId="26" fillId="2" borderId="1" xfId="119" applyNumberFormat="1" applyFont="1" applyAlignment="1">
      <alignment horizontal="center"/>
    </xf>
    <xf numFmtId="43" fontId="43" fillId="2" borderId="1" xfId="18" applyNumberFormat="1" applyFont="1"/>
    <xf numFmtId="4" fontId="26" fillId="2" borderId="1" xfId="124" applyNumberFormat="1" applyFont="1" applyAlignment="1">
      <alignment horizontal="right" vertical="top"/>
    </xf>
    <xf numFmtId="164" fontId="26" fillId="2" borderId="2" xfId="15" applyFont="1" applyFill="1" applyBorder="1"/>
    <xf numFmtId="164" fontId="26" fillId="2" borderId="2" xfId="15" applyFont="1" applyFill="1" applyBorder="1" applyAlignment="1"/>
    <xf numFmtId="164" fontId="26" fillId="2" borderId="3" xfId="15" applyFont="1" applyFill="1" applyBorder="1"/>
    <xf numFmtId="0" fontId="26" fillId="2" borderId="1" xfId="118" applyFont="1" applyAlignment="1">
      <alignment vertical="top"/>
    </xf>
    <xf numFmtId="39" fontId="26" fillId="2" borderId="3" xfId="125" applyNumberFormat="1" applyFont="1"/>
    <xf numFmtId="167" fontId="26" fillId="2" borderId="3" xfId="125" applyNumberFormat="1" applyFont="1"/>
    <xf numFmtId="4" fontId="36" fillId="0" borderId="1" xfId="115" applyNumberFormat="1" applyFont="1" applyFill="1" applyBorder="1" applyAlignment="1"/>
    <xf numFmtId="4" fontId="45" fillId="0" borderId="1" xfId="15" applyNumberFormat="1" applyFont="1" applyFill="1" applyBorder="1" applyAlignment="1"/>
    <xf numFmtId="0" fontId="26" fillId="0" borderId="1" xfId="119" applyFont="1" applyFill="1" applyAlignment="1"/>
    <xf numFmtId="0" fontId="4" fillId="0" borderId="1" xfId="119" applyFont="1" applyFill="1" applyAlignment="1">
      <alignment horizontal="right"/>
    </xf>
    <xf numFmtId="167" fontId="36" fillId="2" borderId="1" xfId="119" applyNumberFormat="1" applyFont="1" applyAlignment="1"/>
    <xf numFmtId="39" fontId="26" fillId="2" borderId="1" xfId="15" applyNumberFormat="1" applyFont="1" applyFill="1" applyBorder="1" applyAlignment="1"/>
    <xf numFmtId="0" fontId="44" fillId="2" borderId="1" xfId="18" applyFont="1"/>
    <xf numFmtId="0" fontId="26" fillId="2" borderId="1" xfId="119" quotePrefix="1" applyFont="1" applyAlignment="1"/>
    <xf numFmtId="0" fontId="4" fillId="2" borderId="1" xfId="2" applyFont="1" applyAlignment="1">
      <alignment horizontal="center" vertical="top"/>
    </xf>
    <xf numFmtId="0" fontId="4" fillId="2" borderId="1" xfId="102" applyFont="1" applyAlignment="1">
      <alignment horizontal="left" vertical="top"/>
    </xf>
    <xf numFmtId="0" fontId="26" fillId="2" borderId="3" xfId="113" applyFont="1"/>
    <xf numFmtId="0" fontId="4" fillId="2" borderId="1" xfId="47" applyFont="1">
      <alignment horizontal="left" vertical="top" wrapText="1"/>
    </xf>
    <xf numFmtId="0" fontId="26" fillId="2" borderId="1" xfId="48" applyFont="1"/>
    <xf numFmtId="0" fontId="27" fillId="2" borderId="1" xfId="49" applyFont="1">
      <alignment horizontal="left" vertical="top" wrapText="1"/>
    </xf>
    <xf numFmtId="0" fontId="26" fillId="2" borderId="2" xfId="51" applyFont="1"/>
    <xf numFmtId="0" fontId="26" fillId="2" borderId="1" xfId="52" applyFont="1">
      <alignment horizontal="left" vertical="top" wrapText="1"/>
    </xf>
    <xf numFmtId="0" fontId="4" fillId="2" borderId="4" xfId="47" applyFont="1" applyBorder="1">
      <alignment horizontal="left" vertical="top" wrapText="1"/>
    </xf>
    <xf numFmtId="0" fontId="4" fillId="2" borderId="5" xfId="47" applyFont="1" applyBorder="1">
      <alignment horizontal="left" vertical="top" wrapText="1"/>
    </xf>
    <xf numFmtId="0" fontId="26" fillId="2" borderId="5" xfId="48" applyFont="1" applyBorder="1"/>
    <xf numFmtId="0" fontId="26" fillId="2" borderId="1" xfId="47" applyFont="1">
      <alignment horizontal="left" vertical="top" wrapText="1"/>
    </xf>
    <xf numFmtId="0" fontId="43" fillId="2" borderId="1" xfId="17" applyFont="1">
      <alignment horizontal="left" vertical="top" wrapText="1"/>
    </xf>
    <xf numFmtId="0" fontId="26" fillId="2" borderId="4" xfId="48" applyFont="1" applyBorder="1"/>
    <xf numFmtId="0" fontId="26" fillId="2" borderId="6" xfId="52" applyFont="1" applyBorder="1">
      <alignment horizontal="left" vertical="top" wrapText="1"/>
    </xf>
    <xf numFmtId="0" fontId="26" fillId="2" borderId="6" xfId="48" applyFont="1" applyBorder="1"/>
    <xf numFmtId="0" fontId="26" fillId="2" borderId="1" xfId="48" applyFont="1" applyAlignment="1">
      <alignment horizontal="left" wrapText="1"/>
    </xf>
    <xf numFmtId="0" fontId="42" fillId="2" borderId="4" xfId="17" applyFont="1" applyBorder="1">
      <alignment horizontal="left" vertical="top" wrapText="1"/>
    </xf>
    <xf numFmtId="0" fontId="43" fillId="2" borderId="4" xfId="18" applyFont="1" applyBorder="1"/>
    <xf numFmtId="0" fontId="42" fillId="2" borderId="1" xfId="17" applyFont="1">
      <alignment horizontal="left" vertical="top" wrapText="1"/>
    </xf>
    <xf numFmtId="0" fontId="43" fillId="2" borderId="1" xfId="18" applyFont="1"/>
    <xf numFmtId="0" fontId="42" fillId="2" borderId="5" xfId="17" applyFont="1" applyBorder="1">
      <alignment horizontal="left" vertical="top" wrapText="1"/>
    </xf>
    <xf numFmtId="0" fontId="43" fillId="2" borderId="5" xfId="18" applyFont="1" applyBorder="1"/>
    <xf numFmtId="0" fontId="43" fillId="2" borderId="1" xfId="22" applyFont="1">
      <alignment horizontal="left" vertical="top" wrapText="1"/>
    </xf>
    <xf numFmtId="0" fontId="43" fillId="2" borderId="2" xfId="21" applyFont="1"/>
    <xf numFmtId="0" fontId="43" fillId="2" borderId="1" xfId="18" applyFont="1" applyAlignment="1">
      <alignment horizontal="left" wrapText="1"/>
    </xf>
    <xf numFmtId="0" fontId="42" fillId="2" borderId="6" xfId="22" applyFont="1" applyBorder="1">
      <alignment horizontal="left" vertical="top" wrapText="1"/>
    </xf>
    <xf numFmtId="0" fontId="42" fillId="2" borderId="6" xfId="18" applyFont="1" applyBorder="1"/>
    <xf numFmtId="0" fontId="43" fillId="2" borderId="3" xfId="24" applyFont="1"/>
    <xf numFmtId="0" fontId="44" fillId="2" borderId="1" xfId="19" applyFont="1">
      <alignment horizontal="left" vertical="top" wrapText="1"/>
    </xf>
  </cellXfs>
  <cellStyles count="130">
    <cellStyle name="Comma" xfId="15" builtinId="3"/>
    <cellStyle name="Comma 2" xfId="16" xr:uid="{00000000-0005-0000-0000-000001000000}"/>
    <cellStyle name="Comma 3" xfId="28" xr:uid="{00000000-0005-0000-0000-000002000000}"/>
    <cellStyle name="Comma 4" xfId="115" xr:uid="{00000000-0005-0000-0000-000003000000}"/>
    <cellStyle name="Normal" xfId="0" builtinId="0"/>
    <cellStyle name="Normal 10" xfId="92" xr:uid="{00000000-0005-0000-0000-000005000000}"/>
    <cellStyle name="Normal 11" xfId="103" xr:uid="{00000000-0005-0000-0000-000006000000}"/>
    <cellStyle name="Normal 2" xfId="18" xr:uid="{00000000-0005-0000-0000-000007000000}"/>
    <cellStyle name="Normal 2 2" xfId="26" xr:uid="{00000000-0005-0000-0000-000008000000}"/>
    <cellStyle name="Normal 2 3" xfId="48" xr:uid="{00000000-0005-0000-0000-000009000000}"/>
    <cellStyle name="Normal 3" xfId="27" xr:uid="{00000000-0005-0000-0000-00000A000000}"/>
    <cellStyle name="Normal 3 2" xfId="127" xr:uid="{00000000-0005-0000-0000-00000B000000}"/>
    <cellStyle name="Normal 4" xfId="30" xr:uid="{00000000-0005-0000-0000-00000C000000}"/>
    <cellStyle name="Normal 4 2" xfId="116" xr:uid="{00000000-0005-0000-0000-00000D000000}"/>
    <cellStyle name="Normal 5" xfId="40" xr:uid="{00000000-0005-0000-0000-00000E000000}"/>
    <cellStyle name="Normal 6" xfId="41" xr:uid="{00000000-0005-0000-0000-00000F000000}"/>
    <cellStyle name="Normal 7" xfId="57" xr:uid="{00000000-0005-0000-0000-000010000000}"/>
    <cellStyle name="Normal 8" xfId="68" xr:uid="{00000000-0005-0000-0000-000011000000}"/>
    <cellStyle name="Normal 8 2" xfId="117" xr:uid="{00000000-0005-0000-0000-000012000000}"/>
    <cellStyle name="Normal 8 3" xfId="119" xr:uid="{00000000-0005-0000-0000-000013000000}"/>
    <cellStyle name="Normal 9" xfId="81" xr:uid="{00000000-0005-0000-0000-000014000000}"/>
    <cellStyle name="Style 1" xfId="1" xr:uid="{00000000-0005-0000-0000-000015000000}"/>
    <cellStyle name="Style 10" xfId="10" xr:uid="{00000000-0005-0000-0000-000016000000}"/>
    <cellStyle name="Style 10 2" xfId="21" xr:uid="{00000000-0005-0000-0000-000017000000}"/>
    <cellStyle name="Style 10 2 2" xfId="51" xr:uid="{00000000-0005-0000-0000-000018000000}"/>
    <cellStyle name="Style 10 3" xfId="33" xr:uid="{00000000-0005-0000-0000-000019000000}"/>
    <cellStyle name="Style 10 4" xfId="42" xr:uid="{00000000-0005-0000-0000-00001A000000}"/>
    <cellStyle name="Style 10 5" xfId="60" xr:uid="{00000000-0005-0000-0000-00001B000000}"/>
    <cellStyle name="Style 10 6" xfId="71" xr:uid="{00000000-0005-0000-0000-00001C000000}"/>
    <cellStyle name="Style 10 6 2" xfId="122" xr:uid="{00000000-0005-0000-0000-00001D000000}"/>
    <cellStyle name="Style 10 7" xfId="84" xr:uid="{00000000-0005-0000-0000-00001E000000}"/>
    <cellStyle name="Style 10 8" xfId="95" xr:uid="{00000000-0005-0000-0000-00001F000000}"/>
    <cellStyle name="Style 10 9" xfId="106" xr:uid="{00000000-0005-0000-0000-000020000000}"/>
    <cellStyle name="Style 11" xfId="11" xr:uid="{00000000-0005-0000-0000-000021000000}"/>
    <cellStyle name="Style 12" xfId="12" xr:uid="{00000000-0005-0000-0000-000022000000}"/>
    <cellStyle name="Style 12 2" xfId="23" xr:uid="{00000000-0005-0000-0000-000023000000}"/>
    <cellStyle name="Style 12 2 2" xfId="53" xr:uid="{00000000-0005-0000-0000-000024000000}"/>
    <cellStyle name="Style 12 3" xfId="35" xr:uid="{00000000-0005-0000-0000-000025000000}"/>
    <cellStyle name="Style 12 4" xfId="62" xr:uid="{00000000-0005-0000-0000-000026000000}"/>
    <cellStyle name="Style 12 5" xfId="73" xr:uid="{00000000-0005-0000-0000-000027000000}"/>
    <cellStyle name="Style 12 5 2" xfId="124" xr:uid="{00000000-0005-0000-0000-000028000000}"/>
    <cellStyle name="Style 12 6" xfId="86" xr:uid="{00000000-0005-0000-0000-000029000000}"/>
    <cellStyle name="Style 12 7" xfId="97" xr:uid="{00000000-0005-0000-0000-00002A000000}"/>
    <cellStyle name="Style 12 8" xfId="108" xr:uid="{00000000-0005-0000-0000-00002B000000}"/>
    <cellStyle name="Style 13" xfId="13" xr:uid="{00000000-0005-0000-0000-00002C000000}"/>
    <cellStyle name="Style 13 10" xfId="109" xr:uid="{00000000-0005-0000-0000-00002D000000}"/>
    <cellStyle name="Style 13 2" xfId="24" xr:uid="{00000000-0005-0000-0000-00002E000000}"/>
    <cellStyle name="Style 13 2 2" xfId="54" xr:uid="{00000000-0005-0000-0000-00002F000000}"/>
    <cellStyle name="Style 13 2 3" xfId="113" xr:uid="{00000000-0005-0000-0000-000030000000}"/>
    <cellStyle name="Style 13 3" xfId="36" xr:uid="{00000000-0005-0000-0000-000031000000}"/>
    <cellStyle name="Style 13 4" xfId="43" xr:uid="{00000000-0005-0000-0000-000032000000}"/>
    <cellStyle name="Style 13 5" xfId="63" xr:uid="{00000000-0005-0000-0000-000033000000}"/>
    <cellStyle name="Style 13 6" xfId="74" xr:uid="{00000000-0005-0000-0000-000034000000}"/>
    <cellStyle name="Style 13 7" xfId="78" xr:uid="{00000000-0005-0000-0000-000035000000}"/>
    <cellStyle name="Style 13 7 2" xfId="128" xr:uid="{00000000-0005-0000-0000-000036000000}"/>
    <cellStyle name="Style 13 8" xfId="87" xr:uid="{00000000-0005-0000-0000-000037000000}"/>
    <cellStyle name="Style 13 9" xfId="98" xr:uid="{00000000-0005-0000-0000-000038000000}"/>
    <cellStyle name="Style 14" xfId="14" xr:uid="{00000000-0005-0000-0000-000039000000}"/>
    <cellStyle name="Style 14 10" xfId="110" xr:uid="{00000000-0005-0000-0000-00003A000000}"/>
    <cellStyle name="Style 14 2" xfId="25" xr:uid="{00000000-0005-0000-0000-00003B000000}"/>
    <cellStyle name="Style 14 2 2" xfId="55" xr:uid="{00000000-0005-0000-0000-00003C000000}"/>
    <cellStyle name="Style 14 2 3" xfId="114" xr:uid="{00000000-0005-0000-0000-00003D000000}"/>
    <cellStyle name="Style 14 3" xfId="37" xr:uid="{00000000-0005-0000-0000-00003E000000}"/>
    <cellStyle name="Style 14 4" xfId="44" xr:uid="{00000000-0005-0000-0000-00003F000000}"/>
    <cellStyle name="Style 14 5" xfId="64" xr:uid="{00000000-0005-0000-0000-000040000000}"/>
    <cellStyle name="Style 14 6" xfId="75" xr:uid="{00000000-0005-0000-0000-000041000000}"/>
    <cellStyle name="Style 14 6 2" xfId="125" xr:uid="{00000000-0005-0000-0000-000042000000}"/>
    <cellStyle name="Style 14 7" xfId="79" xr:uid="{00000000-0005-0000-0000-000043000000}"/>
    <cellStyle name="Style 14 7 2" xfId="129" xr:uid="{00000000-0005-0000-0000-000044000000}"/>
    <cellStyle name="Style 14 8" xfId="88" xr:uid="{00000000-0005-0000-0000-000045000000}"/>
    <cellStyle name="Style 14 9" xfId="99" xr:uid="{00000000-0005-0000-0000-000046000000}"/>
    <cellStyle name="Style 15" xfId="38" xr:uid="{00000000-0005-0000-0000-000047000000}"/>
    <cellStyle name="Style 15 2" xfId="45" xr:uid="{00000000-0005-0000-0000-000048000000}"/>
    <cellStyle name="Style 15 3" xfId="65" xr:uid="{00000000-0005-0000-0000-000049000000}"/>
    <cellStyle name="Style 15 4" xfId="76" xr:uid="{00000000-0005-0000-0000-00004A000000}"/>
    <cellStyle name="Style 15 4 2" xfId="126" xr:uid="{00000000-0005-0000-0000-00004B000000}"/>
    <cellStyle name="Style 15 5" xfId="89" xr:uid="{00000000-0005-0000-0000-00004C000000}"/>
    <cellStyle name="Style 15 6" xfId="100" xr:uid="{00000000-0005-0000-0000-00004D000000}"/>
    <cellStyle name="Style 15 7" xfId="111" xr:uid="{00000000-0005-0000-0000-00004E000000}"/>
    <cellStyle name="Style 16" xfId="39" xr:uid="{00000000-0005-0000-0000-00004F000000}"/>
    <cellStyle name="Style 16 2" xfId="46" xr:uid="{00000000-0005-0000-0000-000050000000}"/>
    <cellStyle name="Style 16 3" xfId="66" xr:uid="{00000000-0005-0000-0000-000051000000}"/>
    <cellStyle name="Style 16 4" xfId="77" xr:uid="{00000000-0005-0000-0000-000052000000}"/>
    <cellStyle name="Style 16 5" xfId="90" xr:uid="{00000000-0005-0000-0000-000053000000}"/>
    <cellStyle name="Style 16 6" xfId="101" xr:uid="{00000000-0005-0000-0000-000054000000}"/>
    <cellStyle name="Style 16 7" xfId="112" xr:uid="{00000000-0005-0000-0000-000055000000}"/>
    <cellStyle name="Style 2" xfId="2" xr:uid="{00000000-0005-0000-0000-000056000000}"/>
    <cellStyle name="Style 2 2" xfId="17" xr:uid="{00000000-0005-0000-0000-000057000000}"/>
    <cellStyle name="Style 2 2 2" xfId="47" xr:uid="{00000000-0005-0000-0000-000058000000}"/>
    <cellStyle name="Style 2 3" xfId="29" xr:uid="{00000000-0005-0000-0000-000059000000}"/>
    <cellStyle name="Style 2 4" xfId="56" xr:uid="{00000000-0005-0000-0000-00005A000000}"/>
    <cellStyle name="Style 2 5" xfId="67" xr:uid="{00000000-0005-0000-0000-00005B000000}"/>
    <cellStyle name="Style 2 5 2" xfId="118" xr:uid="{00000000-0005-0000-0000-00005C000000}"/>
    <cellStyle name="Style 2 6" xfId="80" xr:uid="{00000000-0005-0000-0000-00005D000000}"/>
    <cellStyle name="Style 2 7" xfId="91" xr:uid="{00000000-0005-0000-0000-00005E000000}"/>
    <cellStyle name="Style 2 8" xfId="102" xr:uid="{00000000-0005-0000-0000-00005F000000}"/>
    <cellStyle name="Style 3" xfId="3" xr:uid="{00000000-0005-0000-0000-000060000000}"/>
    <cellStyle name="Style 4" xfId="4" xr:uid="{00000000-0005-0000-0000-000061000000}"/>
    <cellStyle name="Style 5" xfId="5" xr:uid="{00000000-0005-0000-0000-000062000000}"/>
    <cellStyle name="Style 6" xfId="6" xr:uid="{00000000-0005-0000-0000-000063000000}"/>
    <cellStyle name="Style 6 2" xfId="22" xr:uid="{00000000-0005-0000-0000-000064000000}"/>
    <cellStyle name="Style 6 2 2" xfId="52" xr:uid="{00000000-0005-0000-0000-000065000000}"/>
    <cellStyle name="Style 6 3" xfId="34" xr:uid="{00000000-0005-0000-0000-000066000000}"/>
    <cellStyle name="Style 6 4" xfId="61" xr:uid="{00000000-0005-0000-0000-000067000000}"/>
    <cellStyle name="Style 6 5" xfId="72" xr:uid="{00000000-0005-0000-0000-000068000000}"/>
    <cellStyle name="Style 6 5 2" xfId="123" xr:uid="{00000000-0005-0000-0000-000069000000}"/>
    <cellStyle name="Style 6 6" xfId="85" xr:uid="{00000000-0005-0000-0000-00006A000000}"/>
    <cellStyle name="Style 6 7" xfId="96" xr:uid="{00000000-0005-0000-0000-00006B000000}"/>
    <cellStyle name="Style 6 8" xfId="107" xr:uid="{00000000-0005-0000-0000-00006C000000}"/>
    <cellStyle name="Style 7" xfId="7" xr:uid="{00000000-0005-0000-0000-00006D000000}"/>
    <cellStyle name="Style 8" xfId="8" xr:uid="{00000000-0005-0000-0000-00006E000000}"/>
    <cellStyle name="Style 8 2" xfId="19" xr:uid="{00000000-0005-0000-0000-00006F000000}"/>
    <cellStyle name="Style 8 2 2" xfId="49" xr:uid="{00000000-0005-0000-0000-000070000000}"/>
    <cellStyle name="Style 8 3" xfId="31" xr:uid="{00000000-0005-0000-0000-000071000000}"/>
    <cellStyle name="Style 8 4" xfId="58" xr:uid="{00000000-0005-0000-0000-000072000000}"/>
    <cellStyle name="Style 8 5" xfId="69" xr:uid="{00000000-0005-0000-0000-000073000000}"/>
    <cellStyle name="Style 8 5 2" xfId="120" xr:uid="{00000000-0005-0000-0000-000074000000}"/>
    <cellStyle name="Style 8 6" xfId="82" xr:uid="{00000000-0005-0000-0000-000075000000}"/>
    <cellStyle name="Style 8 7" xfId="93" xr:uid="{00000000-0005-0000-0000-000076000000}"/>
    <cellStyle name="Style 8 8" xfId="104" xr:uid="{00000000-0005-0000-0000-000077000000}"/>
    <cellStyle name="Style 9" xfId="9" xr:uid="{00000000-0005-0000-0000-000078000000}"/>
    <cellStyle name="Style 9 2" xfId="20" xr:uid="{00000000-0005-0000-0000-000079000000}"/>
    <cellStyle name="Style 9 2 2" xfId="50" xr:uid="{00000000-0005-0000-0000-00007A000000}"/>
    <cellStyle name="Style 9 3" xfId="32" xr:uid="{00000000-0005-0000-0000-00007B000000}"/>
    <cellStyle name="Style 9 4" xfId="59" xr:uid="{00000000-0005-0000-0000-00007C000000}"/>
    <cellStyle name="Style 9 5" xfId="70" xr:uid="{00000000-0005-0000-0000-00007D000000}"/>
    <cellStyle name="Style 9 5 2" xfId="121" xr:uid="{00000000-0005-0000-0000-00007E000000}"/>
    <cellStyle name="Style 9 6" xfId="83" xr:uid="{00000000-0005-0000-0000-00007F000000}"/>
    <cellStyle name="Style 9 7" xfId="94" xr:uid="{00000000-0005-0000-0000-000080000000}"/>
    <cellStyle name="Style 9 8" xfId="105" xr:uid="{00000000-0005-0000-0000-00008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opLeftCell="A47" workbookViewId="0">
      <selection activeCell="E49" sqref="E49"/>
    </sheetView>
  </sheetViews>
  <sheetFormatPr defaultRowHeight="15" customHeight="1" x14ac:dyDescent="0.25"/>
  <cols>
    <col min="1" max="1" width="3.33203125" style="25" customWidth="1"/>
    <col min="2" max="3" width="1.6640625" style="25" customWidth="1"/>
    <col min="4" max="4" width="35.44140625" style="25" customWidth="1"/>
    <col min="5" max="5" width="10.6640625" style="35" customWidth="1"/>
    <col min="6" max="6" width="19.44140625" style="25" customWidth="1"/>
    <col min="7" max="7" width="19" style="25" customWidth="1"/>
    <col min="8" max="8" width="19.88671875" style="25" customWidth="1"/>
    <col min="9" max="16384" width="8.88671875" style="25"/>
  </cols>
  <sheetData>
    <row r="1" spans="1:8" ht="15" customHeight="1" x14ac:dyDescent="0.25">
      <c r="A1" s="24" t="s">
        <v>0</v>
      </c>
    </row>
    <row r="2" spans="1:8" ht="15" customHeight="1" x14ac:dyDescent="0.25">
      <c r="A2" s="26" t="s">
        <v>1</v>
      </c>
    </row>
    <row r="3" spans="1:8" ht="15" customHeight="1" x14ac:dyDescent="0.25">
      <c r="A3" s="24" t="s">
        <v>72</v>
      </c>
    </row>
    <row r="4" spans="1:8" ht="15" customHeight="1" x14ac:dyDescent="0.25">
      <c r="A4" s="24" t="s">
        <v>285</v>
      </c>
    </row>
    <row r="6" spans="1:8" ht="15" customHeight="1" thickBot="1" x14ac:dyDescent="0.3">
      <c r="E6" s="7" t="s">
        <v>64</v>
      </c>
      <c r="F6" s="27">
        <v>2024</v>
      </c>
      <c r="G6" s="27">
        <v>2023</v>
      </c>
      <c r="H6" s="27" t="s">
        <v>3</v>
      </c>
    </row>
    <row r="7" spans="1:8" ht="15" customHeight="1" thickTop="1" x14ac:dyDescent="0.25">
      <c r="A7" s="28"/>
      <c r="B7" s="28"/>
      <c r="C7" s="28"/>
      <c r="D7" s="28"/>
      <c r="E7" s="36"/>
      <c r="F7" s="28"/>
      <c r="G7" s="28"/>
      <c r="H7" s="28"/>
    </row>
    <row r="8" spans="1:8" ht="15" customHeight="1" x14ac:dyDescent="0.25">
      <c r="A8" s="249" t="s">
        <v>4</v>
      </c>
      <c r="B8" s="249"/>
      <c r="C8" s="249"/>
      <c r="D8" s="249"/>
    </row>
    <row r="9" spans="1:8" ht="15" customHeight="1" x14ac:dyDescent="0.25">
      <c r="A9" s="24" t="s">
        <v>5</v>
      </c>
      <c r="F9" s="21"/>
      <c r="G9" s="21"/>
    </row>
    <row r="10" spans="1:8" ht="15" customHeight="1" x14ac:dyDescent="0.25">
      <c r="B10" s="34" t="s">
        <v>6</v>
      </c>
      <c r="E10" s="35">
        <v>3</v>
      </c>
      <c r="F10" s="30">
        <f>'Detailed SFP'!F15</f>
        <v>20997964.939999998</v>
      </c>
      <c r="G10" s="30">
        <f>'Detailed SFP'!G15</f>
        <v>23254052.370000001</v>
      </c>
      <c r="H10" s="33">
        <f>F10-G10</f>
        <v>-2256087.4300000034</v>
      </c>
    </row>
    <row r="11" spans="1:8" ht="15" customHeight="1" x14ac:dyDescent="0.25">
      <c r="B11" s="29" t="s">
        <v>7</v>
      </c>
      <c r="E11" s="35">
        <v>4</v>
      </c>
      <c r="F11" s="30">
        <f>'Detailed SFP'!F18</f>
        <v>100774184.69</v>
      </c>
      <c r="G11" s="30">
        <f>'Detailed SFP'!G18</f>
        <v>100387677.53</v>
      </c>
      <c r="H11" s="33">
        <f t="shared" ref="H11:H14" si="0">F11-G11</f>
        <v>386507.15999999642</v>
      </c>
    </row>
    <row r="12" spans="1:8" ht="15" customHeight="1" x14ac:dyDescent="0.25">
      <c r="B12" s="34" t="s">
        <v>8</v>
      </c>
      <c r="E12" s="35">
        <v>5</v>
      </c>
      <c r="F12" s="30">
        <f>'Detailed SFP'!F31</f>
        <v>16335151.92</v>
      </c>
      <c r="G12" s="30">
        <f>'Detailed SFP'!G31</f>
        <v>7489311.9300000006</v>
      </c>
      <c r="H12" s="33">
        <f t="shared" si="0"/>
        <v>8845839.9899999984</v>
      </c>
    </row>
    <row r="13" spans="1:8" ht="15" customHeight="1" x14ac:dyDescent="0.25">
      <c r="B13" s="34" t="s">
        <v>9</v>
      </c>
      <c r="E13" s="35">
        <v>6</v>
      </c>
      <c r="F13" s="30">
        <f>'Detailed SFP'!F38</f>
        <v>975011.12000000011</v>
      </c>
      <c r="G13" s="30">
        <f>'Detailed SFP'!G38</f>
        <v>762111.64</v>
      </c>
      <c r="H13" s="33">
        <f t="shared" si="0"/>
        <v>212899.4800000001</v>
      </c>
    </row>
    <row r="14" spans="1:8" ht="15" customHeight="1" x14ac:dyDescent="0.25">
      <c r="A14" s="39"/>
      <c r="B14" s="40" t="s">
        <v>180</v>
      </c>
      <c r="C14" s="41"/>
      <c r="D14" s="41"/>
      <c r="E14" s="42">
        <v>7</v>
      </c>
      <c r="F14" s="44">
        <f>'Detailed SFP'!F52</f>
        <v>2910885.2800000003</v>
      </c>
      <c r="G14" s="44">
        <f>'Detailed SFP'!G52</f>
        <v>3856658.5599999996</v>
      </c>
      <c r="H14" s="43">
        <f t="shared" si="0"/>
        <v>-945773.27999999933</v>
      </c>
    </row>
    <row r="15" spans="1:8" ht="15" customHeight="1" x14ac:dyDescent="0.25">
      <c r="A15" s="24" t="s">
        <v>10</v>
      </c>
      <c r="B15" s="24"/>
      <c r="C15" s="24"/>
      <c r="F15" s="32">
        <f>SUM(F10:F14)</f>
        <v>141993197.94999999</v>
      </c>
      <c r="G15" s="32">
        <f>SUM(G10:G14)</f>
        <v>135749812.03</v>
      </c>
      <c r="H15" s="32">
        <f t="shared" ref="H15" si="1">SUM(H10:H14)</f>
        <v>6243385.9199999925</v>
      </c>
    </row>
    <row r="16" spans="1:8" ht="15" customHeight="1" x14ac:dyDescent="0.25">
      <c r="A16" s="31"/>
      <c r="B16" s="31"/>
      <c r="C16" s="31"/>
      <c r="D16" s="31"/>
      <c r="E16" s="37"/>
      <c r="F16" s="31"/>
      <c r="G16" s="31"/>
      <c r="H16" s="31"/>
    </row>
    <row r="17" spans="1:8" ht="15" customHeight="1" x14ac:dyDescent="0.25">
      <c r="A17" s="24" t="s">
        <v>11</v>
      </c>
    </row>
    <row r="18" spans="1:8" ht="15" customHeight="1" x14ac:dyDescent="0.25">
      <c r="B18" s="29" t="s">
        <v>181</v>
      </c>
      <c r="E18" s="35">
        <v>8</v>
      </c>
      <c r="F18" s="30">
        <v>15000000</v>
      </c>
      <c r="G18" s="30">
        <v>15000000</v>
      </c>
      <c r="H18" s="33">
        <f t="shared" ref="H18:H23" si="2">F18-G18</f>
        <v>0</v>
      </c>
    </row>
    <row r="19" spans="1:8" ht="15" customHeight="1" x14ac:dyDescent="0.25">
      <c r="B19" s="29" t="s">
        <v>88</v>
      </c>
      <c r="F19" s="30">
        <v>15000</v>
      </c>
      <c r="G19" s="30">
        <v>15000</v>
      </c>
      <c r="H19" s="33">
        <f t="shared" si="2"/>
        <v>0</v>
      </c>
    </row>
    <row r="20" spans="1:8" ht="15" customHeight="1" x14ac:dyDescent="0.25">
      <c r="B20" s="29" t="s">
        <v>61</v>
      </c>
      <c r="E20" s="35">
        <v>9</v>
      </c>
      <c r="F20" s="30">
        <f>'Detailed SFP'!F70</f>
        <v>489658</v>
      </c>
      <c r="G20" s="30">
        <f>'Detailed SFP'!G70</f>
        <v>82165633.060000002</v>
      </c>
      <c r="H20" s="33">
        <f t="shared" si="2"/>
        <v>-81675975.060000002</v>
      </c>
    </row>
    <row r="21" spans="1:8" ht="15" customHeight="1" x14ac:dyDescent="0.25">
      <c r="B21" s="34" t="s">
        <v>12</v>
      </c>
      <c r="E21" s="35">
        <v>10</v>
      </c>
      <c r="F21" s="30">
        <f>'Detailed SFP'!F100</f>
        <v>7436604.2200000025</v>
      </c>
      <c r="G21" s="30">
        <f>'Detailed SFP'!G100</f>
        <v>8391764.8299999982</v>
      </c>
      <c r="H21" s="33">
        <f t="shared" si="2"/>
        <v>-955160.60999999568</v>
      </c>
    </row>
    <row r="22" spans="1:8" ht="15" customHeight="1" x14ac:dyDescent="0.25">
      <c r="B22" s="34" t="s">
        <v>274</v>
      </c>
      <c r="F22" s="30">
        <v>260000</v>
      </c>
      <c r="G22" s="30">
        <v>0</v>
      </c>
      <c r="H22" s="33">
        <f t="shared" si="2"/>
        <v>260000</v>
      </c>
    </row>
    <row r="23" spans="1:8" ht="15" customHeight="1" x14ac:dyDescent="0.25">
      <c r="A23" s="41"/>
      <c r="B23" s="40" t="s">
        <v>270</v>
      </c>
      <c r="C23" s="41"/>
      <c r="D23" s="41"/>
      <c r="E23" s="42">
        <v>11</v>
      </c>
      <c r="F23" s="44">
        <v>96647923.900000006</v>
      </c>
      <c r="G23" s="44">
        <v>0</v>
      </c>
      <c r="H23" s="43">
        <f t="shared" si="2"/>
        <v>96647923.900000006</v>
      </c>
    </row>
    <row r="24" spans="1:8" ht="15" customHeight="1" x14ac:dyDescent="0.25">
      <c r="A24" s="24" t="s">
        <v>13</v>
      </c>
      <c r="F24" s="32">
        <f>SUM(F18:F23)</f>
        <v>119849186.12</v>
      </c>
      <c r="G24" s="32">
        <f t="shared" ref="G24:H24" si="3">SUM(G18:G23)</f>
        <v>105572397.89</v>
      </c>
      <c r="H24" s="32">
        <f t="shared" si="3"/>
        <v>14276788.230000004</v>
      </c>
    </row>
    <row r="25" spans="1:8" ht="15" customHeight="1" x14ac:dyDescent="0.25">
      <c r="A25" s="31"/>
      <c r="B25" s="31"/>
      <c r="C25" s="31"/>
      <c r="D25" s="31"/>
      <c r="E25" s="37"/>
      <c r="F25" s="31"/>
      <c r="G25" s="31"/>
      <c r="H25" s="31"/>
    </row>
    <row r="26" spans="1:8" ht="15" customHeight="1" thickBot="1" x14ac:dyDescent="0.3">
      <c r="A26" s="24" t="s">
        <v>14</v>
      </c>
      <c r="F26" s="32">
        <f>F24+F15</f>
        <v>261842384.06999999</v>
      </c>
      <c r="G26" s="32">
        <f>G24+G15</f>
        <v>241322209.92000002</v>
      </c>
      <c r="H26" s="32">
        <f>H24+H15</f>
        <v>20520174.149999999</v>
      </c>
    </row>
    <row r="27" spans="1:8" ht="15" customHeight="1" thickTop="1" x14ac:dyDescent="0.25">
      <c r="A27" s="28"/>
      <c r="B27" s="28"/>
      <c r="C27" s="28"/>
      <c r="D27" s="28"/>
      <c r="E27" s="36"/>
      <c r="F27" s="28"/>
      <c r="G27" s="28"/>
      <c r="H27" s="28"/>
    </row>
    <row r="29" spans="1:8" ht="15" customHeight="1" x14ac:dyDescent="0.25">
      <c r="A29" s="249" t="s">
        <v>65</v>
      </c>
      <c r="B29" s="249"/>
      <c r="C29" s="249"/>
      <c r="D29" s="249"/>
    </row>
    <row r="30" spans="1:8" ht="15" customHeight="1" x14ac:dyDescent="0.25">
      <c r="A30" s="24" t="s">
        <v>15</v>
      </c>
    </row>
    <row r="31" spans="1:8" ht="15" customHeight="1" x14ac:dyDescent="0.25">
      <c r="B31" s="34" t="s">
        <v>16</v>
      </c>
      <c r="E31" s="35">
        <v>12</v>
      </c>
      <c r="F31" s="30">
        <f>'Detailed SFP'!F119</f>
        <v>17018506.77</v>
      </c>
      <c r="G31" s="30">
        <f>'Detailed SFP'!G119</f>
        <v>8085887.6400000006</v>
      </c>
      <c r="H31" s="33">
        <f t="shared" ref="H31:H36" si="4">F31-G31</f>
        <v>8932619.129999999</v>
      </c>
    </row>
    <row r="32" spans="1:8" ht="15" customHeight="1" x14ac:dyDescent="0.25">
      <c r="B32" s="34" t="s">
        <v>17</v>
      </c>
      <c r="E32" s="35">
        <v>13</v>
      </c>
      <c r="F32" s="30">
        <f>'Detailed SFP'!F128</f>
        <v>68194716.040000007</v>
      </c>
      <c r="G32" s="30">
        <f>'Detailed SFP'!G128</f>
        <v>66098117.609999999</v>
      </c>
      <c r="H32" s="33">
        <f t="shared" si="4"/>
        <v>2096598.4300000072</v>
      </c>
    </row>
    <row r="33" spans="1:8" ht="15" customHeight="1" x14ac:dyDescent="0.25">
      <c r="B33" s="34" t="s">
        <v>254</v>
      </c>
      <c r="E33" s="35">
        <v>14</v>
      </c>
      <c r="F33" s="30">
        <f>'Detailed SFP'!F131</f>
        <v>963408.78</v>
      </c>
      <c r="G33" s="30">
        <f>'Detailed SFP'!G131</f>
        <v>9700</v>
      </c>
      <c r="H33" s="33">
        <f t="shared" si="4"/>
        <v>953708.78</v>
      </c>
    </row>
    <row r="34" spans="1:8" ht="15" customHeight="1" x14ac:dyDescent="0.25">
      <c r="B34" s="29" t="s">
        <v>18</v>
      </c>
      <c r="E34" s="35">
        <v>15</v>
      </c>
      <c r="F34" s="30">
        <f>'Detailed SFP'!F137</f>
        <v>9123848.7799999993</v>
      </c>
      <c r="G34" s="30">
        <f>'Detailed SFP'!G137</f>
        <v>8623169.9600000009</v>
      </c>
      <c r="H34" s="33">
        <f t="shared" si="4"/>
        <v>500678.81999999844</v>
      </c>
    </row>
    <row r="35" spans="1:8" ht="15" customHeight="1" x14ac:dyDescent="0.25">
      <c r="B35" s="29" t="s">
        <v>262</v>
      </c>
      <c r="F35" s="30">
        <f>'Detailed SFP'!F140</f>
        <v>43803912.670000002</v>
      </c>
      <c r="G35" s="30">
        <f>'Detailed SFP'!G140</f>
        <v>38926071</v>
      </c>
      <c r="H35" s="30">
        <f>'Detailed SFP'!H140</f>
        <v>4877841.6700000018</v>
      </c>
    </row>
    <row r="36" spans="1:8" ht="15" customHeight="1" x14ac:dyDescent="0.25">
      <c r="A36" s="41"/>
      <c r="B36" s="39" t="s">
        <v>19</v>
      </c>
      <c r="C36" s="41"/>
      <c r="D36" s="41"/>
      <c r="E36" s="42"/>
      <c r="F36" s="44">
        <f>'Detailed SFP'!F143</f>
        <v>472003.75</v>
      </c>
      <c r="G36" s="44">
        <f>'Detailed SFP'!G143</f>
        <v>378102.48</v>
      </c>
      <c r="H36" s="43">
        <f t="shared" si="4"/>
        <v>93901.270000000019</v>
      </c>
    </row>
    <row r="37" spans="1:8" ht="15" customHeight="1" x14ac:dyDescent="0.25">
      <c r="A37" s="24" t="s">
        <v>20</v>
      </c>
      <c r="F37" s="32">
        <f>SUM(F31:F36)</f>
        <v>139576396.79000002</v>
      </c>
      <c r="G37" s="32">
        <f>SUM(G31:G36)</f>
        <v>122121048.69000001</v>
      </c>
      <c r="H37" s="32">
        <f>SUM(H31:H36)</f>
        <v>17455348.100000005</v>
      </c>
    </row>
    <row r="38" spans="1:8" ht="15" customHeight="1" x14ac:dyDescent="0.25">
      <c r="A38" s="31"/>
      <c r="B38" s="31"/>
      <c r="C38" s="31"/>
      <c r="D38" s="31"/>
      <c r="E38" s="37"/>
      <c r="F38" s="31"/>
      <c r="G38" s="31"/>
      <c r="H38" s="31"/>
    </row>
    <row r="39" spans="1:8" ht="15" customHeight="1" x14ac:dyDescent="0.25">
      <c r="A39" s="24" t="s">
        <v>21</v>
      </c>
    </row>
    <row r="40" spans="1:8" ht="15" customHeight="1" x14ac:dyDescent="0.25">
      <c r="A40" s="41"/>
      <c r="B40" s="40" t="s">
        <v>17</v>
      </c>
      <c r="C40" s="41"/>
      <c r="D40" s="41"/>
      <c r="E40" s="42">
        <v>16</v>
      </c>
      <c r="F40" s="44">
        <f>'Detailed SFP'!F149</f>
        <v>13411809.51</v>
      </c>
      <c r="G40" s="44">
        <f>'Detailed SFP'!G149</f>
        <v>13411809.51</v>
      </c>
      <c r="H40" s="44">
        <f>F40-G40</f>
        <v>0</v>
      </c>
    </row>
    <row r="41" spans="1:8" ht="15" customHeight="1" x14ac:dyDescent="0.25">
      <c r="A41" s="24" t="s">
        <v>22</v>
      </c>
      <c r="F41" s="32">
        <f>F40</f>
        <v>13411809.51</v>
      </c>
      <c r="G41" s="32">
        <f>G40</f>
        <v>13411809.51</v>
      </c>
      <c r="H41" s="32">
        <f>H40</f>
        <v>0</v>
      </c>
    </row>
    <row r="42" spans="1:8" ht="15" customHeight="1" x14ac:dyDescent="0.25">
      <c r="A42" s="31"/>
      <c r="B42" s="31"/>
      <c r="C42" s="31"/>
      <c r="D42" s="31"/>
      <c r="E42" s="37"/>
      <c r="F42" s="31"/>
      <c r="G42" s="31"/>
      <c r="H42" s="31"/>
    </row>
    <row r="43" spans="1:8" ht="15" customHeight="1" x14ac:dyDescent="0.25">
      <c r="A43" s="48" t="s">
        <v>23</v>
      </c>
      <c r="B43" s="41"/>
      <c r="C43" s="41"/>
      <c r="D43" s="41"/>
      <c r="E43" s="42"/>
      <c r="F43" s="49">
        <f>F41+F37</f>
        <v>152988206.30000001</v>
      </c>
      <c r="G43" s="49">
        <f>G41+G37</f>
        <v>135532858.20000002</v>
      </c>
      <c r="H43" s="49">
        <f t="shared" ref="H43" si="5">H41+H37</f>
        <v>17455348.100000005</v>
      </c>
    </row>
    <row r="44" spans="1:8" ht="15" customHeight="1" x14ac:dyDescent="0.25">
      <c r="A44" s="46"/>
      <c r="B44" s="46"/>
      <c r="C44" s="46"/>
      <c r="D44" s="46"/>
      <c r="E44" s="47"/>
      <c r="F44" s="46"/>
      <c r="G44" s="46"/>
      <c r="H44" s="46"/>
    </row>
    <row r="46" spans="1:8" ht="15" customHeight="1" x14ac:dyDescent="0.25">
      <c r="A46" s="249" t="s">
        <v>66</v>
      </c>
      <c r="B46" s="249"/>
      <c r="C46" s="249"/>
      <c r="D46" s="249"/>
    </row>
    <row r="47" spans="1:8" ht="15" customHeight="1" x14ac:dyDescent="0.25">
      <c r="A47" s="34" t="s">
        <v>24</v>
      </c>
      <c r="E47" s="35">
        <v>17</v>
      </c>
      <c r="F47" s="45">
        <f>'Detailed SFP'!F161</f>
        <v>83143720.230000004</v>
      </c>
      <c r="G47" s="45">
        <f>'Detailed SFP'!G161</f>
        <v>83143720.230000004</v>
      </c>
      <c r="H47" s="33">
        <f t="shared" ref="H47" si="6">F47-G47</f>
        <v>0</v>
      </c>
    </row>
    <row r="48" spans="1:8" ht="15" customHeight="1" x14ac:dyDescent="0.25">
      <c r="A48" s="39" t="s">
        <v>26</v>
      </c>
      <c r="B48" s="41"/>
      <c r="C48" s="41"/>
      <c r="D48" s="41"/>
      <c r="E48" s="42">
        <v>18</v>
      </c>
      <c r="F48" s="44">
        <f>'Detailed SFP'!F165</f>
        <v>25710457.539999999</v>
      </c>
      <c r="G48" s="44">
        <f>'Detailed SFP'!G165</f>
        <v>22645631.489999998</v>
      </c>
      <c r="H48" s="44">
        <f>F48-G48</f>
        <v>3064826.0500000007</v>
      </c>
    </row>
    <row r="49" spans="1:8" ht="15" customHeight="1" x14ac:dyDescent="0.25">
      <c r="A49" s="24" t="s">
        <v>27</v>
      </c>
      <c r="F49" s="32">
        <f>F47+F48</f>
        <v>108854177.77000001</v>
      </c>
      <c r="G49" s="32">
        <f>G47+G48</f>
        <v>105789351.72</v>
      </c>
      <c r="H49" s="32">
        <f t="shared" ref="H49" si="7">H47+H48</f>
        <v>3064826.0500000007</v>
      </c>
    </row>
    <row r="50" spans="1:8" ht="15" customHeight="1" x14ac:dyDescent="0.25">
      <c r="A50" s="31"/>
      <c r="B50" s="31"/>
      <c r="C50" s="31"/>
      <c r="D50" s="31"/>
      <c r="E50" s="37"/>
      <c r="F50" s="31"/>
      <c r="G50" s="31"/>
      <c r="H50" s="31"/>
    </row>
    <row r="51" spans="1:8" ht="15" customHeight="1" thickBot="1" x14ac:dyDescent="0.3">
      <c r="A51" s="24" t="s">
        <v>28</v>
      </c>
      <c r="F51" s="32">
        <f>F49+F43</f>
        <v>261842384.07000002</v>
      </c>
      <c r="G51" s="32">
        <f>G49+G43</f>
        <v>241322209.92000002</v>
      </c>
      <c r="H51" s="32">
        <f t="shared" ref="H51" si="8">H49+H43</f>
        <v>20520174.150000006</v>
      </c>
    </row>
    <row r="52" spans="1:8" ht="16.2" customHeight="1" thickTop="1" x14ac:dyDescent="0.25">
      <c r="A52" s="28"/>
      <c r="B52" s="28"/>
      <c r="C52" s="28"/>
      <c r="D52" s="28"/>
      <c r="E52" s="36"/>
      <c r="F52" s="20">
        <f>F51-F26</f>
        <v>0</v>
      </c>
      <c r="G52" s="20">
        <f>G51-G26</f>
        <v>0</v>
      </c>
      <c r="H52" s="20">
        <f>H51-H26</f>
        <v>0</v>
      </c>
    </row>
    <row r="53" spans="1:8" s="9" customFormat="1" ht="15" customHeight="1" x14ac:dyDescent="0.3">
      <c r="A53" s="1" t="s">
        <v>60</v>
      </c>
      <c r="B53" s="4"/>
      <c r="C53" s="4"/>
      <c r="D53" s="4"/>
      <c r="E53" s="2"/>
    </row>
    <row r="54" spans="1:8" s="9" customFormat="1" ht="15" customHeight="1" x14ac:dyDescent="0.25">
      <c r="A54" s="4"/>
      <c r="B54" s="4"/>
      <c r="C54" s="4"/>
      <c r="D54" s="4"/>
      <c r="E54" s="38"/>
      <c r="F54" s="2"/>
      <c r="G54" s="21"/>
    </row>
    <row r="55" spans="1:8" s="9" customFormat="1" ht="15" customHeight="1" x14ac:dyDescent="0.25">
      <c r="A55" s="3"/>
      <c r="B55" s="3"/>
      <c r="C55" s="3"/>
      <c r="D55" s="3"/>
      <c r="E55" s="38"/>
      <c r="F55" s="2"/>
      <c r="G55" s="23"/>
    </row>
    <row r="56" spans="1:8" s="9" customFormat="1" ht="15" customHeight="1" x14ac:dyDescent="0.25">
      <c r="A56" s="3"/>
      <c r="B56" s="3"/>
      <c r="C56" s="3"/>
      <c r="D56" s="3"/>
      <c r="E56" s="2"/>
      <c r="F56" s="2"/>
      <c r="G56" s="23"/>
    </row>
    <row r="57" spans="1:8" s="9" customFormat="1" ht="15" customHeight="1" x14ac:dyDescent="0.25">
      <c r="A57" s="3"/>
      <c r="B57" s="3"/>
      <c r="C57" s="3"/>
      <c r="D57" s="3"/>
      <c r="E57" s="2"/>
      <c r="F57" s="8"/>
    </row>
    <row r="58" spans="1:8" s="9" customFormat="1" ht="15" customHeight="1" x14ac:dyDescent="0.3">
      <c r="A58" s="5"/>
      <c r="B58" s="3"/>
      <c r="C58" s="3"/>
      <c r="D58" s="3"/>
      <c r="E58" s="2"/>
      <c r="F58" s="8"/>
    </row>
    <row r="59" spans="1:8" s="9" customFormat="1" ht="15" customHeight="1" x14ac:dyDescent="0.3">
      <c r="A59" s="6"/>
      <c r="B59" s="3"/>
      <c r="C59" s="3"/>
      <c r="D59" s="3"/>
      <c r="E59" s="2"/>
      <c r="F59" s="8"/>
    </row>
  </sheetData>
  <mergeCells count="3">
    <mergeCell ref="A8:D8"/>
    <mergeCell ref="A29:D29"/>
    <mergeCell ref="A46:D46"/>
  </mergeCells>
  <printOptions horizontalCentered="1"/>
  <pageMargins left="0.2" right="0.2" top="0.75" bottom="0.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176"/>
  <sheetViews>
    <sheetView workbookViewId="0">
      <selection activeCell="F15" sqref="F15"/>
    </sheetView>
  </sheetViews>
  <sheetFormatPr defaultRowHeight="15" customHeight="1" x14ac:dyDescent="0.25"/>
  <cols>
    <col min="1" max="1" width="3.33203125" style="103" customWidth="1"/>
    <col min="2" max="3" width="1.6640625" style="103" customWidth="1"/>
    <col min="4" max="4" width="48.77734375" style="103" customWidth="1"/>
    <col min="5" max="5" width="15.33203125" style="104" customWidth="1"/>
    <col min="6" max="6" width="19" style="103" customWidth="1"/>
    <col min="7" max="7" width="19.88671875" style="103" customWidth="1"/>
    <col min="8" max="8" width="17.77734375" style="103" customWidth="1"/>
    <col min="9" max="9" width="26.21875" style="213" bestFit="1" customWidth="1"/>
    <col min="10" max="10" width="17.33203125" style="213" customWidth="1"/>
    <col min="11" max="16384" width="8.88671875" style="103"/>
  </cols>
  <sheetData>
    <row r="1" spans="1:8" ht="15" customHeight="1" x14ac:dyDescent="0.3">
      <c r="A1" s="102" t="s">
        <v>0</v>
      </c>
      <c r="G1" s="244"/>
    </row>
    <row r="2" spans="1:8" ht="15" customHeight="1" x14ac:dyDescent="0.25">
      <c r="A2" s="105" t="s">
        <v>1</v>
      </c>
      <c r="G2" s="243"/>
    </row>
    <row r="3" spans="1:8" ht="15" customHeight="1" x14ac:dyDescent="0.25">
      <c r="A3" s="102" t="s">
        <v>2</v>
      </c>
    </row>
    <row r="4" spans="1:8" ht="15" customHeight="1" x14ac:dyDescent="0.25">
      <c r="A4" s="102" t="str">
        <f>SFP!A4</f>
        <v>As of June 30, 2024</v>
      </c>
    </row>
    <row r="6" spans="1:8" ht="15" customHeight="1" thickBot="1" x14ac:dyDescent="0.35">
      <c r="E6" s="106" t="s">
        <v>73</v>
      </c>
      <c r="F6" s="107">
        <f>SFP!F6</f>
        <v>2024</v>
      </c>
      <c r="G6" s="107">
        <f>SFP!G6</f>
        <v>2023</v>
      </c>
      <c r="H6" s="107" t="s">
        <v>3</v>
      </c>
    </row>
    <row r="7" spans="1:8" ht="15" customHeight="1" thickTop="1" x14ac:dyDescent="0.25">
      <c r="A7" s="108"/>
      <c r="B7" s="108"/>
      <c r="C7" s="108"/>
      <c r="D7" s="108"/>
      <c r="E7" s="109"/>
      <c r="F7" s="108"/>
      <c r="G7" s="108"/>
      <c r="H7" s="108"/>
    </row>
    <row r="8" spans="1:8" ht="15" customHeight="1" x14ac:dyDescent="0.25">
      <c r="A8" s="102" t="s">
        <v>4</v>
      </c>
    </row>
    <row r="9" spans="1:8" ht="15" customHeight="1" x14ac:dyDescent="0.25">
      <c r="A9" s="102" t="s">
        <v>5</v>
      </c>
    </row>
    <row r="10" spans="1:8" ht="15" customHeight="1" x14ac:dyDescent="0.25">
      <c r="A10" s="102" t="s">
        <v>6</v>
      </c>
      <c r="E10" s="104">
        <v>3</v>
      </c>
    </row>
    <row r="11" spans="1:8" ht="15" customHeight="1" x14ac:dyDescent="0.25">
      <c r="A11" s="110" t="s">
        <v>253</v>
      </c>
      <c r="F11" s="111">
        <v>2250</v>
      </c>
      <c r="G11" s="111">
        <v>0</v>
      </c>
      <c r="H11" s="111">
        <f>F11-G11</f>
        <v>2250</v>
      </c>
    </row>
    <row r="12" spans="1:8" ht="15" customHeight="1" x14ac:dyDescent="0.25">
      <c r="A12" s="110" t="s">
        <v>238</v>
      </c>
      <c r="F12" s="111">
        <v>20000</v>
      </c>
      <c r="G12" s="111">
        <v>20000</v>
      </c>
      <c r="H12" s="111">
        <f>F12-G12</f>
        <v>0</v>
      </c>
    </row>
    <row r="13" spans="1:8" ht="15" customHeight="1" x14ac:dyDescent="0.25">
      <c r="A13" s="110" t="s">
        <v>182</v>
      </c>
    </row>
    <row r="14" spans="1:8" ht="15" customHeight="1" x14ac:dyDescent="0.25">
      <c r="B14" s="110" t="s">
        <v>183</v>
      </c>
      <c r="F14" s="111">
        <f>16192003.45+4783711.49</f>
        <v>20975714.939999998</v>
      </c>
      <c r="G14" s="111">
        <v>23234052.370000001</v>
      </c>
      <c r="H14" s="111">
        <f>F14-G14</f>
        <v>-2258337.4300000034</v>
      </c>
    </row>
    <row r="15" spans="1:8" ht="15" customHeight="1" x14ac:dyDescent="0.25">
      <c r="D15" s="112" t="s">
        <v>74</v>
      </c>
      <c r="E15" s="113"/>
      <c r="F15" s="111">
        <f>SUM(F11:F14)</f>
        <v>20997964.939999998</v>
      </c>
      <c r="G15" s="111">
        <f>SUM(G11:G14)</f>
        <v>23254052.370000001</v>
      </c>
      <c r="H15" s="111">
        <f>SUM(H11:H14)</f>
        <v>-2256087.4300000034</v>
      </c>
    </row>
    <row r="17" spans="1:8" ht="15" customHeight="1" x14ac:dyDescent="0.25">
      <c r="A17" s="102" t="s">
        <v>88</v>
      </c>
    </row>
    <row r="18" spans="1:8" ht="15" customHeight="1" x14ac:dyDescent="0.25">
      <c r="B18" s="110" t="s">
        <v>184</v>
      </c>
      <c r="E18" s="104">
        <v>4</v>
      </c>
      <c r="F18" s="111">
        <v>100774184.69</v>
      </c>
      <c r="G18" s="111">
        <v>100387677.53</v>
      </c>
      <c r="H18" s="111">
        <f t="shared" ref="H18" si="0">F18-G18</f>
        <v>386507.15999999642</v>
      </c>
    </row>
    <row r="20" spans="1:8" ht="15" customHeight="1" x14ac:dyDescent="0.25">
      <c r="A20" s="102" t="s">
        <v>8</v>
      </c>
      <c r="E20" s="104">
        <v>5</v>
      </c>
    </row>
    <row r="21" spans="1:8" ht="15" customHeight="1" x14ac:dyDescent="0.25">
      <c r="A21" s="110" t="s">
        <v>75</v>
      </c>
    </row>
    <row r="22" spans="1:8" ht="15" customHeight="1" x14ac:dyDescent="0.25">
      <c r="B22" s="110" t="s">
        <v>185</v>
      </c>
      <c r="F22" s="111">
        <v>290096.55</v>
      </c>
      <c r="G22" s="111">
        <v>388046.55</v>
      </c>
      <c r="H22" s="111">
        <f t="shared" ref="H22:H30" si="1">F22-G22</f>
        <v>-97950</v>
      </c>
    </row>
    <row r="23" spans="1:8" ht="15" customHeight="1" x14ac:dyDescent="0.25">
      <c r="A23" s="110" t="s">
        <v>76</v>
      </c>
      <c r="B23" s="110"/>
      <c r="F23" s="111"/>
      <c r="G23" s="111"/>
      <c r="H23" s="111"/>
    </row>
    <row r="24" spans="1:8" ht="15" customHeight="1" x14ac:dyDescent="0.25">
      <c r="B24" s="110" t="s">
        <v>243</v>
      </c>
      <c r="F24" s="111">
        <v>605912.61</v>
      </c>
      <c r="G24" s="111">
        <v>605912.61</v>
      </c>
      <c r="H24" s="111">
        <f t="shared" si="1"/>
        <v>0</v>
      </c>
    </row>
    <row r="25" spans="1:8" ht="15" customHeight="1" x14ac:dyDescent="0.25">
      <c r="B25" s="110" t="s">
        <v>242</v>
      </c>
      <c r="F25" s="111">
        <v>7058.82</v>
      </c>
      <c r="G25" s="111">
        <v>147058.82</v>
      </c>
      <c r="H25" s="111">
        <f t="shared" si="1"/>
        <v>-140000</v>
      </c>
    </row>
    <row r="26" spans="1:8" ht="15" customHeight="1" x14ac:dyDescent="0.25">
      <c r="A26" s="110" t="s">
        <v>241</v>
      </c>
    </row>
    <row r="27" spans="1:8" ht="15" customHeight="1" x14ac:dyDescent="0.25">
      <c r="B27" s="110" t="s">
        <v>77</v>
      </c>
      <c r="F27" s="234">
        <v>13192639.08</v>
      </c>
      <c r="G27" s="234">
        <v>4217146.49</v>
      </c>
      <c r="H27" s="111">
        <f t="shared" si="1"/>
        <v>8975492.5899999999</v>
      </c>
    </row>
    <row r="28" spans="1:8" ht="15" customHeight="1" x14ac:dyDescent="0.25">
      <c r="A28" s="110" t="s">
        <v>78</v>
      </c>
    </row>
    <row r="29" spans="1:8" ht="15" customHeight="1" x14ac:dyDescent="0.25">
      <c r="B29" s="110" t="s">
        <v>79</v>
      </c>
      <c r="F29" s="111">
        <v>999627.66</v>
      </c>
      <c r="G29" s="111">
        <v>891330.26</v>
      </c>
      <c r="H29" s="111">
        <f t="shared" si="1"/>
        <v>108297.40000000002</v>
      </c>
    </row>
    <row r="30" spans="1:8" ht="15" customHeight="1" x14ac:dyDescent="0.25">
      <c r="B30" s="110" t="s">
        <v>78</v>
      </c>
      <c r="F30" s="111">
        <v>1239817.2</v>
      </c>
      <c r="G30" s="111">
        <v>1239817.2</v>
      </c>
      <c r="H30" s="111">
        <f t="shared" si="1"/>
        <v>0</v>
      </c>
    </row>
    <row r="31" spans="1:8" ht="15" customHeight="1" x14ac:dyDescent="0.25">
      <c r="D31" s="112" t="s">
        <v>74</v>
      </c>
      <c r="E31" s="113"/>
      <c r="F31" s="111">
        <f>SUM(F22:F30)</f>
        <v>16335151.92</v>
      </c>
      <c r="G31" s="111">
        <f>SUM(G22:G30)</f>
        <v>7489311.9300000006</v>
      </c>
      <c r="H31" s="111">
        <f>SUM(H22:H30)</f>
        <v>8845839.9900000002</v>
      </c>
    </row>
    <row r="33" spans="1:8" ht="15" customHeight="1" x14ac:dyDescent="0.25">
      <c r="A33" s="102" t="s">
        <v>9</v>
      </c>
      <c r="E33" s="104">
        <v>6</v>
      </c>
    </row>
    <row r="34" spans="1:8" ht="15" customHeight="1" x14ac:dyDescent="0.25">
      <c r="A34" s="110" t="s">
        <v>80</v>
      </c>
    </row>
    <row r="35" spans="1:8" ht="15" customHeight="1" x14ac:dyDescent="0.25">
      <c r="B35" s="110" t="s">
        <v>267</v>
      </c>
      <c r="F35" s="111">
        <v>611354.80000000005</v>
      </c>
      <c r="G35" s="111">
        <v>501460.59</v>
      </c>
      <c r="H35" s="111">
        <f t="shared" ref="H35:H37" si="2">F35-G35</f>
        <v>109894.21000000002</v>
      </c>
    </row>
    <row r="36" spans="1:8" ht="15" customHeight="1" x14ac:dyDescent="0.25">
      <c r="B36" s="110" t="s">
        <v>244</v>
      </c>
      <c r="F36" s="111">
        <v>167622.06</v>
      </c>
      <c r="G36" s="111">
        <v>167651.46</v>
      </c>
      <c r="H36" s="111">
        <f t="shared" si="2"/>
        <v>-29.399999999994179</v>
      </c>
    </row>
    <row r="37" spans="1:8" ht="15" customHeight="1" x14ac:dyDescent="0.25">
      <c r="B37" s="110" t="s">
        <v>245</v>
      </c>
      <c r="F37" s="111">
        <v>196034.26</v>
      </c>
      <c r="G37" s="111">
        <v>92999.59</v>
      </c>
      <c r="H37" s="111">
        <f t="shared" si="2"/>
        <v>103034.67000000001</v>
      </c>
    </row>
    <row r="38" spans="1:8" ht="15" customHeight="1" x14ac:dyDescent="0.25">
      <c r="B38" s="110"/>
      <c r="D38" s="112" t="s">
        <v>74</v>
      </c>
      <c r="F38" s="111">
        <f>SUM(F35:F37)</f>
        <v>975011.12000000011</v>
      </c>
      <c r="G38" s="111">
        <f t="shared" ref="G38:H38" si="3">SUM(G35:G37)</f>
        <v>762111.64</v>
      </c>
      <c r="H38" s="111">
        <f t="shared" si="3"/>
        <v>212899.48000000004</v>
      </c>
    </row>
    <row r="40" spans="1:8" ht="15" customHeight="1" x14ac:dyDescent="0.25">
      <c r="A40" s="102" t="s">
        <v>180</v>
      </c>
      <c r="E40" s="104">
        <v>7</v>
      </c>
    </row>
    <row r="41" spans="1:8" ht="15" customHeight="1" x14ac:dyDescent="0.25">
      <c r="A41" s="110" t="s">
        <v>231</v>
      </c>
    </row>
    <row r="42" spans="1:8" ht="15" customHeight="1" x14ac:dyDescent="0.25">
      <c r="A42" s="102"/>
      <c r="B42" s="103" t="s">
        <v>232</v>
      </c>
      <c r="F42" s="246">
        <v>48550</v>
      </c>
      <c r="G42" s="246">
        <v>335535.42</v>
      </c>
      <c r="H42" s="246">
        <f>F42-G42</f>
        <v>-286985.42</v>
      </c>
    </row>
    <row r="43" spans="1:8" ht="15" customHeight="1" x14ac:dyDescent="0.25">
      <c r="A43" s="110" t="s">
        <v>81</v>
      </c>
    </row>
    <row r="44" spans="1:8" ht="15" customHeight="1" x14ac:dyDescent="0.25">
      <c r="B44" s="110" t="s">
        <v>82</v>
      </c>
      <c r="F44" s="111">
        <v>1818649.44</v>
      </c>
      <c r="G44" s="111">
        <v>2023867.9</v>
      </c>
      <c r="H44" s="111">
        <f t="shared" ref="H44:H51" si="4">F44-G44</f>
        <v>-205218.45999999996</v>
      </c>
    </row>
    <row r="45" spans="1:8" ht="15" customHeight="1" x14ac:dyDescent="0.25">
      <c r="B45" s="110" t="s">
        <v>273</v>
      </c>
      <c r="F45" s="111">
        <v>7153.01</v>
      </c>
      <c r="G45" s="111">
        <v>0</v>
      </c>
      <c r="H45" s="111">
        <f t="shared" si="4"/>
        <v>7153.01</v>
      </c>
    </row>
    <row r="46" spans="1:8" ht="15" customHeight="1" x14ac:dyDescent="0.25">
      <c r="B46" s="110" t="s">
        <v>251</v>
      </c>
      <c r="F46" s="111">
        <v>122073.58</v>
      </c>
      <c r="G46" s="111">
        <v>38379.230000000003</v>
      </c>
      <c r="H46" s="111">
        <f t="shared" si="4"/>
        <v>83694.350000000006</v>
      </c>
    </row>
    <row r="47" spans="1:8" ht="15" customHeight="1" x14ac:dyDescent="0.25">
      <c r="B47" s="110" t="s">
        <v>83</v>
      </c>
      <c r="F47" s="111">
        <v>91891.839999999997</v>
      </c>
      <c r="G47" s="111">
        <v>48579.01</v>
      </c>
      <c r="H47" s="111">
        <f t="shared" si="4"/>
        <v>43312.829999999994</v>
      </c>
    </row>
    <row r="48" spans="1:8" ht="15" customHeight="1" x14ac:dyDescent="0.25">
      <c r="A48" s="110" t="s">
        <v>84</v>
      </c>
    </row>
    <row r="49" spans="1:8" ht="15" customHeight="1" x14ac:dyDescent="0.25">
      <c r="B49" s="110" t="s">
        <v>85</v>
      </c>
      <c r="F49" s="111">
        <v>168884</v>
      </c>
      <c r="G49" s="111">
        <v>168884</v>
      </c>
      <c r="H49" s="111">
        <f t="shared" si="4"/>
        <v>0</v>
      </c>
    </row>
    <row r="50" spans="1:8" ht="15" customHeight="1" x14ac:dyDescent="0.25">
      <c r="A50" s="110" t="s">
        <v>86</v>
      </c>
    </row>
    <row r="51" spans="1:8" ht="15" customHeight="1" x14ac:dyDescent="0.25">
      <c r="B51" s="110" t="s">
        <v>86</v>
      </c>
      <c r="F51" s="111">
        <v>653683.41</v>
      </c>
      <c r="G51" s="111">
        <v>1241413</v>
      </c>
      <c r="H51" s="111">
        <f t="shared" si="4"/>
        <v>-587729.59</v>
      </c>
    </row>
    <row r="52" spans="1:8" ht="15" customHeight="1" x14ac:dyDescent="0.25">
      <c r="D52" s="112" t="s">
        <v>74</v>
      </c>
      <c r="E52" s="113"/>
      <c r="F52" s="111">
        <f>SUM(F42:F51)</f>
        <v>2910885.2800000003</v>
      </c>
      <c r="G52" s="111">
        <f>SUM(G42:G51)</f>
        <v>3856658.5599999996</v>
      </c>
      <c r="H52" s="111">
        <f>SUM(H42:H51)</f>
        <v>-945773.2799999998</v>
      </c>
    </row>
    <row r="53" spans="1:8" ht="15" customHeight="1" x14ac:dyDescent="0.25">
      <c r="A53" s="114"/>
      <c r="B53" s="114"/>
      <c r="C53" s="114"/>
      <c r="D53" s="114"/>
      <c r="E53" s="115"/>
      <c r="F53" s="114"/>
      <c r="G53" s="114"/>
      <c r="H53" s="114"/>
    </row>
    <row r="54" spans="1:8" ht="15" customHeight="1" x14ac:dyDescent="0.25">
      <c r="C54" s="102" t="s">
        <v>10</v>
      </c>
      <c r="F54" s="116">
        <f>F52+F38+F31+F18+F15</f>
        <v>141993197.94999999</v>
      </c>
      <c r="G54" s="116">
        <f>G52+G38+G31+G18+G15</f>
        <v>135749812.03</v>
      </c>
      <c r="H54" s="116">
        <f>H52+H38+H31+H18+H15</f>
        <v>6243385.9199999943</v>
      </c>
    </row>
    <row r="55" spans="1:8" ht="15" customHeight="1" x14ac:dyDescent="0.25">
      <c r="A55" s="114"/>
      <c r="B55" s="114"/>
      <c r="C55" s="114"/>
      <c r="D55" s="114"/>
      <c r="E55" s="115"/>
      <c r="F55" s="237"/>
      <c r="G55" s="114"/>
      <c r="H55" s="114"/>
    </row>
    <row r="56" spans="1:8" ht="15" customHeight="1" x14ac:dyDescent="0.25">
      <c r="A56" s="102" t="s">
        <v>11</v>
      </c>
    </row>
    <row r="57" spans="1:8" ht="15" customHeight="1" x14ac:dyDescent="0.25">
      <c r="A57" s="110" t="s">
        <v>87</v>
      </c>
      <c r="E57" s="104">
        <v>8</v>
      </c>
    </row>
    <row r="58" spans="1:8" ht="15" customHeight="1" x14ac:dyDescent="0.25">
      <c r="B58" s="110" t="s">
        <v>87</v>
      </c>
      <c r="F58" s="111">
        <v>15000000</v>
      </c>
      <c r="G58" s="111">
        <v>15000000</v>
      </c>
      <c r="H58" s="111">
        <f t="shared" ref="H58:H61" si="5">F58-G58</f>
        <v>0</v>
      </c>
    </row>
    <row r="59" spans="1:8" ht="15" customHeight="1" x14ac:dyDescent="0.25">
      <c r="A59" s="110" t="s">
        <v>88</v>
      </c>
    </row>
    <row r="60" spans="1:8" ht="15" customHeight="1" x14ac:dyDescent="0.25">
      <c r="B60" s="110" t="s">
        <v>89</v>
      </c>
      <c r="F60" s="111">
        <v>15000</v>
      </c>
      <c r="G60" s="111">
        <v>15000</v>
      </c>
      <c r="H60" s="111">
        <f t="shared" si="5"/>
        <v>0</v>
      </c>
    </row>
    <row r="61" spans="1:8" ht="15" customHeight="1" x14ac:dyDescent="0.25">
      <c r="D61" s="112" t="s">
        <v>74</v>
      </c>
      <c r="E61" s="113"/>
      <c r="F61" s="111">
        <f>SUM(F58:F60)</f>
        <v>15015000</v>
      </c>
      <c r="G61" s="111">
        <f>SUM(G58:G60)</f>
        <v>15015000</v>
      </c>
      <c r="H61" s="111">
        <f t="shared" si="5"/>
        <v>0</v>
      </c>
    </row>
    <row r="63" spans="1:8" ht="15" customHeight="1" x14ac:dyDescent="0.25">
      <c r="A63" s="102" t="s">
        <v>61</v>
      </c>
      <c r="E63" s="104">
        <v>9</v>
      </c>
    </row>
    <row r="64" spans="1:8" ht="15" customHeight="1" x14ac:dyDescent="0.25">
      <c r="A64" s="110" t="s">
        <v>90</v>
      </c>
    </row>
    <row r="65" spans="1:8" ht="15" customHeight="1" x14ac:dyDescent="0.25">
      <c r="B65" s="110" t="s">
        <v>91</v>
      </c>
      <c r="F65" s="111">
        <v>0</v>
      </c>
      <c r="G65" s="111">
        <v>16416169.4</v>
      </c>
      <c r="H65" s="111">
        <f t="shared" ref="H65:H69" si="6">F65-G65</f>
        <v>-16416169.4</v>
      </c>
    </row>
    <row r="66" spans="1:8" ht="15" customHeight="1" x14ac:dyDescent="0.25">
      <c r="B66" s="110" t="s">
        <v>92</v>
      </c>
      <c r="F66" s="111">
        <v>0</v>
      </c>
      <c r="G66" s="111">
        <v>0</v>
      </c>
      <c r="H66" s="111">
        <f t="shared" si="6"/>
        <v>0</v>
      </c>
    </row>
    <row r="67" spans="1:8" ht="15" customHeight="1" x14ac:dyDescent="0.25">
      <c r="A67" s="110" t="s">
        <v>93</v>
      </c>
    </row>
    <row r="68" spans="1:8" ht="15" customHeight="1" x14ac:dyDescent="0.25">
      <c r="B68" s="110" t="s">
        <v>94</v>
      </c>
      <c r="F68" s="111">
        <v>0</v>
      </c>
      <c r="G68" s="111">
        <v>65749463.659999996</v>
      </c>
      <c r="H68" s="111">
        <f t="shared" si="6"/>
        <v>-65749463.659999996</v>
      </c>
    </row>
    <row r="69" spans="1:8" ht="15" customHeight="1" x14ac:dyDescent="0.25">
      <c r="B69" s="110" t="s">
        <v>263</v>
      </c>
      <c r="F69" s="111">
        <v>489658</v>
      </c>
      <c r="G69" s="111">
        <v>0</v>
      </c>
      <c r="H69" s="111">
        <f t="shared" si="6"/>
        <v>489658</v>
      </c>
    </row>
    <row r="70" spans="1:8" ht="15" customHeight="1" x14ac:dyDescent="0.25">
      <c r="D70" s="112" t="s">
        <v>74</v>
      </c>
      <c r="E70" s="113"/>
      <c r="F70" s="111">
        <f>SUM(F65:F69)</f>
        <v>489658</v>
      </c>
      <c r="G70" s="111">
        <f>SUM(G65:G69)</f>
        <v>82165633.060000002</v>
      </c>
      <c r="H70" s="111">
        <f>SUM(H65:H69)</f>
        <v>-81675975.060000002</v>
      </c>
    </row>
    <row r="72" spans="1:8" ht="15" customHeight="1" x14ac:dyDescent="0.25">
      <c r="A72" s="102" t="s">
        <v>12</v>
      </c>
      <c r="E72" s="104">
        <v>10</v>
      </c>
    </row>
    <row r="73" spans="1:8" ht="15" customHeight="1" x14ac:dyDescent="0.25">
      <c r="A73" s="110" t="s">
        <v>95</v>
      </c>
    </row>
    <row r="74" spans="1:8" ht="15" customHeight="1" x14ac:dyDescent="0.25">
      <c r="B74" s="110" t="s">
        <v>96</v>
      </c>
      <c r="F74" s="111">
        <v>276082.12</v>
      </c>
      <c r="G74" s="111">
        <v>276082.12</v>
      </c>
      <c r="H74" s="111">
        <f t="shared" ref="H74:H100" si="7">F74-G74</f>
        <v>0</v>
      </c>
    </row>
    <row r="75" spans="1:8" ht="15" customHeight="1" x14ac:dyDescent="0.25">
      <c r="B75" s="110" t="s">
        <v>97</v>
      </c>
      <c r="F75" s="111">
        <v>-262278.01</v>
      </c>
      <c r="G75" s="111">
        <v>-262278.01</v>
      </c>
      <c r="H75" s="111">
        <f t="shared" si="7"/>
        <v>0</v>
      </c>
    </row>
    <row r="76" spans="1:8" ht="15" customHeight="1" x14ac:dyDescent="0.25">
      <c r="A76" s="110" t="s">
        <v>98</v>
      </c>
    </row>
    <row r="77" spans="1:8" ht="15" customHeight="1" x14ac:dyDescent="0.25">
      <c r="B77" s="110" t="s">
        <v>99</v>
      </c>
      <c r="F77" s="111">
        <v>516605.02</v>
      </c>
      <c r="G77" s="111">
        <v>516605.02</v>
      </c>
      <c r="H77" s="111">
        <f t="shared" si="7"/>
        <v>0</v>
      </c>
    </row>
    <row r="78" spans="1:8" ht="15" customHeight="1" x14ac:dyDescent="0.25">
      <c r="B78" s="110" t="s">
        <v>100</v>
      </c>
      <c r="F78" s="111">
        <v>-490774.77</v>
      </c>
      <c r="G78" s="111">
        <v>-490774.77</v>
      </c>
      <c r="H78" s="111">
        <f t="shared" si="7"/>
        <v>0</v>
      </c>
    </row>
    <row r="79" spans="1:8" ht="15" customHeight="1" x14ac:dyDescent="0.25">
      <c r="A79" s="110" t="s">
        <v>101</v>
      </c>
    </row>
    <row r="80" spans="1:8" ht="15" customHeight="1" x14ac:dyDescent="0.25">
      <c r="B80" s="110" t="s">
        <v>102</v>
      </c>
      <c r="F80" s="111">
        <v>9386403.9000000004</v>
      </c>
      <c r="G80" s="111">
        <v>9386403.9000000004</v>
      </c>
      <c r="H80" s="111">
        <f t="shared" si="7"/>
        <v>0</v>
      </c>
    </row>
    <row r="81" spans="1:8" ht="15" customHeight="1" x14ac:dyDescent="0.25">
      <c r="B81" s="110" t="s">
        <v>103</v>
      </c>
      <c r="F81" s="111">
        <v>-5996805.6900000004</v>
      </c>
      <c r="G81" s="111">
        <v>-5580525.9800000004</v>
      </c>
      <c r="H81" s="111">
        <f t="shared" si="7"/>
        <v>-416279.70999999996</v>
      </c>
    </row>
    <row r="82" spans="1:8" ht="15" customHeight="1" x14ac:dyDescent="0.25">
      <c r="B82" s="110" t="s">
        <v>104</v>
      </c>
      <c r="F82" s="111">
        <v>2669275.5099999998</v>
      </c>
      <c r="G82" s="111">
        <v>2669275.5099999998</v>
      </c>
      <c r="H82" s="111">
        <f t="shared" si="7"/>
        <v>0</v>
      </c>
    </row>
    <row r="83" spans="1:8" ht="15" customHeight="1" x14ac:dyDescent="0.25">
      <c r="B83" s="110" t="s">
        <v>105</v>
      </c>
      <c r="F83" s="111">
        <v>-2535811.73</v>
      </c>
      <c r="G83" s="111">
        <v>-2482771.3199999998</v>
      </c>
      <c r="H83" s="111">
        <f t="shared" si="7"/>
        <v>-53040.410000000149</v>
      </c>
    </row>
    <row r="84" spans="1:8" ht="15" customHeight="1" x14ac:dyDescent="0.25">
      <c r="A84" s="110" t="s">
        <v>106</v>
      </c>
    </row>
    <row r="85" spans="1:8" ht="15" customHeight="1" x14ac:dyDescent="0.25">
      <c r="B85" s="110" t="s">
        <v>107</v>
      </c>
      <c r="F85" s="111">
        <v>2962485.91</v>
      </c>
      <c r="G85" s="111">
        <v>2847485.91</v>
      </c>
      <c r="H85" s="111">
        <f t="shared" si="7"/>
        <v>115000</v>
      </c>
    </row>
    <row r="86" spans="1:8" ht="15" customHeight="1" x14ac:dyDescent="0.25">
      <c r="B86" s="110" t="s">
        <v>108</v>
      </c>
      <c r="F86" s="111">
        <v>-2409701.2200000002</v>
      </c>
      <c r="G86" s="111">
        <v>-2266803.88</v>
      </c>
      <c r="H86" s="111">
        <f t="shared" si="7"/>
        <v>-142897.34000000032</v>
      </c>
    </row>
    <row r="87" spans="1:8" ht="15" customHeight="1" x14ac:dyDescent="0.25">
      <c r="B87" s="110" t="s">
        <v>109</v>
      </c>
      <c r="F87" s="111">
        <v>2992733.81</v>
      </c>
      <c r="G87" s="111">
        <v>2992733.81</v>
      </c>
      <c r="H87" s="111">
        <f t="shared" si="7"/>
        <v>0</v>
      </c>
    </row>
    <row r="88" spans="1:8" ht="15" customHeight="1" x14ac:dyDescent="0.25">
      <c r="B88" s="110" t="s">
        <v>110</v>
      </c>
      <c r="F88" s="111">
        <v>-2046991.89</v>
      </c>
      <c r="G88" s="111">
        <v>-1774042.53</v>
      </c>
      <c r="H88" s="111">
        <f t="shared" si="7"/>
        <v>-272949.35999999987</v>
      </c>
    </row>
    <row r="89" spans="1:8" ht="15" customHeight="1" x14ac:dyDescent="0.25">
      <c r="B89" s="110" t="s">
        <v>111</v>
      </c>
      <c r="F89" s="111">
        <v>60000</v>
      </c>
      <c r="G89" s="111">
        <v>60000</v>
      </c>
      <c r="H89" s="111">
        <f t="shared" si="7"/>
        <v>0</v>
      </c>
    </row>
    <row r="90" spans="1:8" ht="15" customHeight="1" x14ac:dyDescent="0.25">
      <c r="B90" s="110" t="s">
        <v>112</v>
      </c>
      <c r="F90" s="111">
        <v>-57000</v>
      </c>
      <c r="G90" s="111">
        <v>-57000</v>
      </c>
      <c r="H90" s="111">
        <f t="shared" si="7"/>
        <v>0</v>
      </c>
    </row>
    <row r="91" spans="1:8" ht="15" customHeight="1" x14ac:dyDescent="0.25">
      <c r="B91" s="110" t="s">
        <v>113</v>
      </c>
      <c r="F91" s="111">
        <v>413387.52000000002</v>
      </c>
      <c r="G91" s="111">
        <v>413387.52000000002</v>
      </c>
      <c r="H91" s="111">
        <f t="shared" si="7"/>
        <v>0</v>
      </c>
    </row>
    <row r="92" spans="1:8" ht="15" customHeight="1" x14ac:dyDescent="0.25">
      <c r="B92" s="110" t="s">
        <v>114</v>
      </c>
      <c r="F92" s="111">
        <v>-392718.14</v>
      </c>
      <c r="G92" s="111">
        <v>-392718.14</v>
      </c>
      <c r="H92" s="111">
        <f t="shared" si="7"/>
        <v>0</v>
      </c>
    </row>
    <row r="93" spans="1:8" ht="15" customHeight="1" x14ac:dyDescent="0.25">
      <c r="A93" s="110" t="s">
        <v>115</v>
      </c>
    </row>
    <row r="94" spans="1:8" ht="15" customHeight="1" x14ac:dyDescent="0.25">
      <c r="B94" s="110" t="s">
        <v>116</v>
      </c>
      <c r="F94" s="111">
        <v>901045.01</v>
      </c>
      <c r="G94" s="111">
        <v>901045.01</v>
      </c>
      <c r="H94" s="111">
        <f t="shared" si="7"/>
        <v>0</v>
      </c>
    </row>
    <row r="95" spans="1:8" ht="15" customHeight="1" x14ac:dyDescent="0.25">
      <c r="B95" s="110" t="s">
        <v>117</v>
      </c>
      <c r="F95" s="111">
        <v>-844942.01</v>
      </c>
      <c r="G95" s="111">
        <v>-836047.37</v>
      </c>
      <c r="H95" s="111">
        <f t="shared" si="7"/>
        <v>-8894.640000000014</v>
      </c>
    </row>
    <row r="96" spans="1:8" ht="15" customHeight="1" x14ac:dyDescent="0.25">
      <c r="A96" s="110" t="s">
        <v>118</v>
      </c>
    </row>
    <row r="97" spans="1:8" ht="15" customHeight="1" x14ac:dyDescent="0.25">
      <c r="B97" s="110" t="s">
        <v>119</v>
      </c>
      <c r="F97" s="111">
        <v>8681939.0600000005</v>
      </c>
      <c r="G97" s="111">
        <v>8681939.0600000005</v>
      </c>
      <c r="H97" s="111">
        <f t="shared" si="7"/>
        <v>0</v>
      </c>
    </row>
    <row r="98" spans="1:8" ht="15" customHeight="1" x14ac:dyDescent="0.25">
      <c r="B98" s="110" t="s">
        <v>120</v>
      </c>
      <c r="F98" s="111">
        <v>-6699688.1799999997</v>
      </c>
      <c r="G98" s="111">
        <v>-6210231.0300000003</v>
      </c>
      <c r="H98" s="111">
        <f t="shared" si="7"/>
        <v>-489457.14999999944</v>
      </c>
    </row>
    <row r="99" spans="1:8" ht="15" customHeight="1" x14ac:dyDescent="0.25">
      <c r="A99" s="103" t="s">
        <v>239</v>
      </c>
      <c r="B99" s="110"/>
      <c r="F99" s="111">
        <v>313358</v>
      </c>
      <c r="G99" s="111">
        <v>0</v>
      </c>
      <c r="H99" s="111">
        <f t="shared" si="7"/>
        <v>313358</v>
      </c>
    </row>
    <row r="100" spans="1:8" ht="15" customHeight="1" x14ac:dyDescent="0.25">
      <c r="D100" s="112" t="s">
        <v>74</v>
      </c>
      <c r="E100" s="113"/>
      <c r="F100" s="111">
        <f>SUM(F74:F99)</f>
        <v>7436604.2200000025</v>
      </c>
      <c r="G100" s="111">
        <f>SUM(G74:G99)</f>
        <v>8391764.8299999982</v>
      </c>
      <c r="H100" s="111">
        <f t="shared" si="7"/>
        <v>-955160.60999999568</v>
      </c>
    </row>
    <row r="101" spans="1:8" ht="15" customHeight="1" x14ac:dyDescent="0.25">
      <c r="D101" s="112"/>
      <c r="E101" s="113"/>
      <c r="F101" s="111"/>
      <c r="G101" s="111"/>
      <c r="H101" s="111"/>
    </row>
    <row r="102" spans="1:8" ht="15" customHeight="1" x14ac:dyDescent="0.3">
      <c r="A102" s="119" t="s">
        <v>274</v>
      </c>
      <c r="D102" s="112"/>
      <c r="E102" s="113"/>
      <c r="F102" s="111"/>
      <c r="G102" s="111"/>
      <c r="H102" s="111"/>
    </row>
    <row r="103" spans="1:8" ht="15" customHeight="1" x14ac:dyDescent="0.25">
      <c r="B103" s="103" t="s">
        <v>275</v>
      </c>
      <c r="D103" s="112"/>
      <c r="E103" s="113"/>
      <c r="F103" s="111">
        <v>260000</v>
      </c>
      <c r="G103" s="111">
        <v>0</v>
      </c>
      <c r="H103" s="111">
        <f t="shared" ref="H103" si="8">F103-G103</f>
        <v>260000</v>
      </c>
    </row>
    <row r="104" spans="1:8" ht="15" customHeight="1" x14ac:dyDescent="0.25">
      <c r="D104" s="112"/>
      <c r="E104" s="113"/>
      <c r="F104" s="111"/>
      <c r="G104" s="111"/>
      <c r="H104" s="111"/>
    </row>
    <row r="105" spans="1:8" ht="15" customHeight="1" x14ac:dyDescent="0.25">
      <c r="A105" s="102" t="s">
        <v>270</v>
      </c>
      <c r="D105" s="112"/>
      <c r="E105" s="113">
        <v>11</v>
      </c>
      <c r="F105" s="111"/>
      <c r="G105" s="111"/>
      <c r="H105" s="111"/>
    </row>
    <row r="106" spans="1:8" ht="15" customHeight="1" x14ac:dyDescent="0.25">
      <c r="B106" s="103" t="s">
        <v>271</v>
      </c>
      <c r="D106" s="112"/>
      <c r="E106" s="113"/>
      <c r="F106" s="111">
        <v>96647923.900000006</v>
      </c>
      <c r="G106" s="111">
        <v>0</v>
      </c>
      <c r="H106" s="111">
        <f>F106-G106</f>
        <v>96647923.900000006</v>
      </c>
    </row>
    <row r="107" spans="1:8" ht="15" customHeight="1" x14ac:dyDescent="0.25">
      <c r="D107" s="248" t="s">
        <v>269</v>
      </c>
    </row>
    <row r="108" spans="1:8" ht="15" customHeight="1" x14ac:dyDescent="0.25">
      <c r="A108" s="114"/>
      <c r="B108" s="114"/>
      <c r="C108" s="114"/>
      <c r="D108" s="114"/>
      <c r="E108" s="115"/>
      <c r="F108" s="114"/>
      <c r="G108" s="114"/>
      <c r="H108" s="114"/>
    </row>
    <row r="109" spans="1:8" ht="15" customHeight="1" x14ac:dyDescent="0.25">
      <c r="A109" s="102" t="s">
        <v>13</v>
      </c>
      <c r="F109" s="116">
        <f>F61+F70+F100+F106+F103</f>
        <v>119849186.12</v>
      </c>
      <c r="G109" s="116">
        <f t="shared" ref="G109:H109" si="9">G61+G70+G100+G106+G103</f>
        <v>105572397.89</v>
      </c>
      <c r="H109" s="116">
        <f t="shared" si="9"/>
        <v>14276788.230000004</v>
      </c>
    </row>
    <row r="110" spans="1:8" ht="15" customHeight="1" x14ac:dyDescent="0.25">
      <c r="A110" s="114"/>
      <c r="B110" s="114"/>
      <c r="C110" s="114"/>
      <c r="D110" s="114"/>
      <c r="E110" s="115"/>
      <c r="F110" s="114"/>
      <c r="G110" s="114"/>
      <c r="H110" s="114"/>
    </row>
    <row r="111" spans="1:8" ht="15" customHeight="1" thickBot="1" x14ac:dyDescent="0.3">
      <c r="A111" s="102" t="s">
        <v>14</v>
      </c>
      <c r="F111" s="116">
        <f>F109+F54</f>
        <v>261842384.06999999</v>
      </c>
      <c r="G111" s="116">
        <f>G109+G54</f>
        <v>241322209.92000002</v>
      </c>
      <c r="H111" s="116">
        <f>H109+H54</f>
        <v>20520174.149999999</v>
      </c>
    </row>
    <row r="112" spans="1:8" ht="15" customHeight="1" thickTop="1" x14ac:dyDescent="0.25">
      <c r="A112" s="108"/>
      <c r="B112" s="108"/>
      <c r="C112" s="108"/>
      <c r="D112" s="108"/>
      <c r="E112" s="109"/>
      <c r="F112" s="235"/>
      <c r="G112" s="108"/>
      <c r="H112" s="108"/>
    </row>
    <row r="113" spans="1:8" ht="15" customHeight="1" x14ac:dyDescent="0.25">
      <c r="F113" s="231"/>
    </row>
    <row r="114" spans="1:8" ht="15" customHeight="1" x14ac:dyDescent="0.25">
      <c r="A114" s="102" t="s">
        <v>121</v>
      </c>
    </row>
    <row r="115" spans="1:8" ht="15" customHeight="1" x14ac:dyDescent="0.25">
      <c r="A115" s="102" t="s">
        <v>15</v>
      </c>
    </row>
    <row r="116" spans="1:8" ht="15" customHeight="1" x14ac:dyDescent="0.25">
      <c r="A116" s="102" t="s">
        <v>16</v>
      </c>
      <c r="E116" s="104">
        <v>12</v>
      </c>
    </row>
    <row r="117" spans="1:8" ht="15" customHeight="1" x14ac:dyDescent="0.25">
      <c r="B117" s="110" t="s">
        <v>122</v>
      </c>
      <c r="F117" s="111">
        <f>14091231.15+1138931.9</f>
        <v>15230163.050000001</v>
      </c>
      <c r="G117" s="111">
        <v>5741700.21</v>
      </c>
      <c r="H117" s="111">
        <f t="shared" ref="H117:H128" si="10">F117-G117</f>
        <v>9488462.8399999999</v>
      </c>
    </row>
    <row r="118" spans="1:8" ht="15" customHeight="1" x14ac:dyDescent="0.25">
      <c r="B118" s="110" t="s">
        <v>246</v>
      </c>
      <c r="F118" s="111">
        <v>1788343.72</v>
      </c>
      <c r="G118" s="111">
        <v>2344187.4300000002</v>
      </c>
      <c r="H118" s="111">
        <f t="shared" si="10"/>
        <v>-555843.7100000002</v>
      </c>
    </row>
    <row r="119" spans="1:8" ht="15" customHeight="1" x14ac:dyDescent="0.25">
      <c r="B119" s="110"/>
      <c r="D119" s="112" t="s">
        <v>74</v>
      </c>
      <c r="F119" s="111">
        <f>SUM(F117:F118)</f>
        <v>17018506.77</v>
      </c>
      <c r="G119" s="111">
        <f t="shared" ref="G119:H119" si="11">SUM(G117:G118)</f>
        <v>8085887.6400000006</v>
      </c>
      <c r="H119" s="111">
        <f t="shared" si="11"/>
        <v>8932619.129999999</v>
      </c>
    </row>
    <row r="120" spans="1:8" ht="15" customHeight="1" x14ac:dyDescent="0.25">
      <c r="B120" s="110"/>
      <c r="F120" s="111"/>
      <c r="G120" s="111"/>
      <c r="H120" s="111"/>
    </row>
    <row r="121" spans="1:8" ht="15" customHeight="1" x14ac:dyDescent="0.25">
      <c r="A121" s="102" t="s">
        <v>17</v>
      </c>
      <c r="E121" s="104">
        <v>13</v>
      </c>
    </row>
    <row r="122" spans="1:8" ht="15" customHeight="1" x14ac:dyDescent="0.25">
      <c r="B122" s="110" t="s">
        <v>123</v>
      </c>
      <c r="F122" s="111">
        <f>408534.57+59060.65+146378.22+32200</f>
        <v>646173.44000000006</v>
      </c>
      <c r="G122" s="111">
        <v>571290.14</v>
      </c>
      <c r="H122" s="111">
        <f t="shared" si="10"/>
        <v>74883.300000000047</v>
      </c>
    </row>
    <row r="123" spans="1:8" ht="15" customHeight="1" x14ac:dyDescent="0.25">
      <c r="B123" s="110" t="s">
        <v>124</v>
      </c>
      <c r="F123" s="111">
        <f>35900+93106.38+115200</f>
        <v>244206.38</v>
      </c>
      <c r="G123" s="111">
        <v>298190.92</v>
      </c>
      <c r="H123" s="111">
        <f t="shared" si="10"/>
        <v>-53984.539999999979</v>
      </c>
    </row>
    <row r="124" spans="1:8" ht="15" customHeight="1" x14ac:dyDescent="0.25">
      <c r="B124" s="110" t="s">
        <v>125</v>
      </c>
      <c r="F124" s="111">
        <v>72324.22</v>
      </c>
      <c r="G124" s="111">
        <v>60092.19</v>
      </c>
      <c r="H124" s="111">
        <f t="shared" si="10"/>
        <v>12232.029999999999</v>
      </c>
    </row>
    <row r="125" spans="1:8" ht="15" customHeight="1" x14ac:dyDescent="0.25">
      <c r="B125" s="110" t="s">
        <v>126</v>
      </c>
      <c r="F125" s="111">
        <f>77760+33408.98</f>
        <v>111168.98000000001</v>
      </c>
      <c r="G125" s="111">
        <v>115365.98</v>
      </c>
      <c r="H125" s="111">
        <f t="shared" si="10"/>
        <v>-4196.9999999999854</v>
      </c>
    </row>
    <row r="126" spans="1:8" ht="15" customHeight="1" x14ac:dyDescent="0.25">
      <c r="B126" s="110" t="s">
        <v>127</v>
      </c>
      <c r="F126" s="111">
        <v>66562997.979999997</v>
      </c>
      <c r="G126" s="111">
        <v>63472827.030000001</v>
      </c>
      <c r="H126" s="111">
        <f t="shared" si="10"/>
        <v>3090170.9499999955</v>
      </c>
    </row>
    <row r="127" spans="1:8" ht="15" customHeight="1" x14ac:dyDescent="0.25">
      <c r="B127" s="110" t="s">
        <v>128</v>
      </c>
      <c r="F127" s="111">
        <v>557845.04</v>
      </c>
      <c r="G127" s="111">
        <v>1580351.35</v>
      </c>
      <c r="H127" s="111">
        <f t="shared" si="10"/>
        <v>-1022506.31</v>
      </c>
    </row>
    <row r="128" spans="1:8" ht="15" customHeight="1" x14ac:dyDescent="0.25">
      <c r="D128" s="112" t="s">
        <v>74</v>
      </c>
      <c r="E128" s="113"/>
      <c r="F128" s="111">
        <f>SUM(F122:F127)</f>
        <v>68194716.040000007</v>
      </c>
      <c r="G128" s="111">
        <f>SUM(G122:G127)</f>
        <v>66098117.609999999</v>
      </c>
      <c r="H128" s="111">
        <f t="shared" si="10"/>
        <v>2096598.4300000072</v>
      </c>
    </row>
    <row r="130" spans="1:8" ht="15" customHeight="1" x14ac:dyDescent="0.25">
      <c r="A130" s="102" t="s">
        <v>254</v>
      </c>
    </row>
    <row r="131" spans="1:8" ht="15" customHeight="1" x14ac:dyDescent="0.25">
      <c r="B131" s="103" t="s">
        <v>255</v>
      </c>
      <c r="E131" s="104">
        <v>14</v>
      </c>
      <c r="F131" s="213">
        <v>963408.78</v>
      </c>
      <c r="G131" s="111">
        <v>9700</v>
      </c>
      <c r="H131" s="213">
        <f>F131-G131</f>
        <v>953708.78</v>
      </c>
    </row>
    <row r="133" spans="1:8" ht="15" customHeight="1" x14ac:dyDescent="0.25">
      <c r="A133" s="102" t="s">
        <v>18</v>
      </c>
      <c r="E133" s="104">
        <v>15</v>
      </c>
    </row>
    <row r="134" spans="1:8" ht="15" customHeight="1" x14ac:dyDescent="0.25">
      <c r="B134" s="110" t="s">
        <v>18</v>
      </c>
      <c r="F134" s="111">
        <v>1794330.02</v>
      </c>
      <c r="G134" s="111">
        <v>1738665.02</v>
      </c>
      <c r="H134" s="111">
        <f t="shared" ref="H134:H137" si="12">F134-G134</f>
        <v>55665</v>
      </c>
    </row>
    <row r="135" spans="1:8" ht="15" customHeight="1" x14ac:dyDescent="0.25">
      <c r="B135" s="110" t="s">
        <v>129</v>
      </c>
      <c r="F135" s="111">
        <v>21000</v>
      </c>
      <c r="G135" s="111">
        <v>35000</v>
      </c>
      <c r="H135" s="111">
        <f t="shared" si="12"/>
        <v>-14000</v>
      </c>
    </row>
    <row r="136" spans="1:8" ht="15" customHeight="1" x14ac:dyDescent="0.25">
      <c r="B136" s="110" t="s">
        <v>186</v>
      </c>
      <c r="F136" s="111">
        <v>7308518.7599999998</v>
      </c>
      <c r="G136" s="111">
        <v>6849504.9400000004</v>
      </c>
      <c r="H136" s="111">
        <f t="shared" si="12"/>
        <v>459013.81999999937</v>
      </c>
    </row>
    <row r="137" spans="1:8" ht="15" customHeight="1" x14ac:dyDescent="0.25">
      <c r="D137" s="112" t="s">
        <v>74</v>
      </c>
      <c r="E137" s="113"/>
      <c r="F137" s="111">
        <f>SUM(F134:F136)</f>
        <v>9123848.7799999993</v>
      </c>
      <c r="G137" s="111">
        <f>SUM(G134:G136)</f>
        <v>8623169.9600000009</v>
      </c>
      <c r="H137" s="111">
        <f t="shared" si="12"/>
        <v>500678.81999999844</v>
      </c>
    </row>
    <row r="138" spans="1:8" ht="15" customHeight="1" x14ac:dyDescent="0.25">
      <c r="D138" s="112"/>
      <c r="E138" s="113"/>
      <c r="F138" s="111"/>
      <c r="G138" s="111"/>
      <c r="H138" s="111"/>
    </row>
    <row r="139" spans="1:8" ht="15" customHeight="1" x14ac:dyDescent="0.25">
      <c r="A139" s="102" t="s">
        <v>259</v>
      </c>
      <c r="D139" s="112"/>
      <c r="E139" s="113"/>
      <c r="F139" s="111"/>
      <c r="G139" s="111"/>
      <c r="H139" s="111"/>
    </row>
    <row r="140" spans="1:8" ht="15" customHeight="1" x14ac:dyDescent="0.25">
      <c r="B140" s="238" t="s">
        <v>260</v>
      </c>
      <c r="D140" s="112"/>
      <c r="E140" s="113"/>
      <c r="F140" s="111">
        <v>43803912.670000002</v>
      </c>
      <c r="G140" s="111">
        <v>38926071</v>
      </c>
      <c r="H140" s="111">
        <f t="shared" ref="H140" si="13">F140-G140</f>
        <v>4877841.6700000018</v>
      </c>
    </row>
    <row r="141" spans="1:8" ht="15" customHeight="1" x14ac:dyDescent="0.3">
      <c r="A141" s="119"/>
      <c r="D141" s="112"/>
      <c r="E141" s="113"/>
      <c r="F141" s="111"/>
      <c r="G141" s="111"/>
      <c r="H141" s="111"/>
    </row>
    <row r="142" spans="1:8" ht="15" customHeight="1" x14ac:dyDescent="0.25">
      <c r="A142" s="102" t="s">
        <v>19</v>
      </c>
      <c r="F142" s="213"/>
    </row>
    <row r="143" spans="1:8" ht="15" customHeight="1" x14ac:dyDescent="0.25">
      <c r="B143" s="110" t="s">
        <v>19</v>
      </c>
      <c r="F143" s="111">
        <v>472003.75</v>
      </c>
      <c r="G143" s="111">
        <v>378102.48</v>
      </c>
      <c r="H143" s="111">
        <f t="shared" ref="H143" si="14">F143-G143</f>
        <v>93901.270000000019</v>
      </c>
    </row>
    <row r="144" spans="1:8" ht="15" customHeight="1" x14ac:dyDescent="0.25">
      <c r="A144" s="114"/>
      <c r="B144" s="114"/>
      <c r="C144" s="114"/>
      <c r="D144" s="114"/>
      <c r="E144" s="115"/>
      <c r="F144" s="114"/>
      <c r="G144" s="114"/>
      <c r="H144" s="114"/>
    </row>
    <row r="145" spans="1:8" ht="15" customHeight="1" x14ac:dyDescent="0.25">
      <c r="A145" s="102" t="s">
        <v>20</v>
      </c>
      <c r="F145" s="116">
        <f>F119+F128+F137+F140+F143+F131</f>
        <v>139576396.78999999</v>
      </c>
      <c r="G145" s="116">
        <f t="shared" ref="G145:H145" si="15">G119+G128+G137+G140+G143+G131</f>
        <v>122121048.69000001</v>
      </c>
      <c r="H145" s="116">
        <f t="shared" si="15"/>
        <v>17455348.100000005</v>
      </c>
    </row>
    <row r="146" spans="1:8" ht="15" customHeight="1" x14ac:dyDescent="0.25">
      <c r="A146" s="114"/>
      <c r="B146" s="114"/>
      <c r="C146" s="114"/>
      <c r="D146" s="114"/>
      <c r="E146" s="115"/>
      <c r="F146" s="239"/>
      <c r="G146" s="237"/>
      <c r="H146" s="240"/>
    </row>
    <row r="147" spans="1:8" ht="15" customHeight="1" x14ac:dyDescent="0.25">
      <c r="A147" s="102" t="s">
        <v>21</v>
      </c>
    </row>
    <row r="148" spans="1:8" ht="15" customHeight="1" x14ac:dyDescent="0.25">
      <c r="A148" s="102" t="s">
        <v>17</v>
      </c>
      <c r="E148" s="104">
        <v>16</v>
      </c>
    </row>
    <row r="149" spans="1:8" ht="15" customHeight="1" x14ac:dyDescent="0.25">
      <c r="B149" s="110" t="s">
        <v>127</v>
      </c>
      <c r="F149" s="111">
        <v>13411809.51</v>
      </c>
      <c r="G149" s="111">
        <v>13411809.51</v>
      </c>
      <c r="H149" s="111">
        <f t="shared" ref="H149" si="16">F149-G149</f>
        <v>0</v>
      </c>
    </row>
    <row r="150" spans="1:8" ht="15" customHeight="1" x14ac:dyDescent="0.25">
      <c r="A150" s="114"/>
      <c r="B150" s="114"/>
      <c r="C150" s="114"/>
      <c r="D150" s="114"/>
      <c r="E150" s="115"/>
      <c r="F150" s="114"/>
      <c r="G150" s="114"/>
      <c r="H150" s="114"/>
    </row>
    <row r="151" spans="1:8" ht="15" customHeight="1" x14ac:dyDescent="0.25">
      <c r="A151" s="102" t="s">
        <v>22</v>
      </c>
      <c r="F151" s="116">
        <f>F149</f>
        <v>13411809.51</v>
      </c>
      <c r="G151" s="116">
        <f>G149</f>
        <v>13411809.51</v>
      </c>
      <c r="H151" s="116">
        <f>H149</f>
        <v>0</v>
      </c>
    </row>
    <row r="152" spans="1:8" ht="15" customHeight="1" x14ac:dyDescent="0.25">
      <c r="A152" s="114"/>
      <c r="B152" s="114"/>
      <c r="C152" s="114"/>
      <c r="D152" s="114"/>
      <c r="E152" s="115"/>
      <c r="F152" s="114"/>
      <c r="G152" s="114"/>
      <c r="H152" s="114"/>
    </row>
    <row r="153" spans="1:8" ht="15" customHeight="1" thickBot="1" x14ac:dyDescent="0.3">
      <c r="A153" s="102" t="s">
        <v>23</v>
      </c>
      <c r="F153" s="116">
        <f>F151+F145</f>
        <v>152988206.29999998</v>
      </c>
      <c r="G153" s="116">
        <f>G151+G145</f>
        <v>135532858.20000002</v>
      </c>
      <c r="H153" s="116">
        <f t="shared" ref="H153" si="17">H151+H145</f>
        <v>17455348.100000005</v>
      </c>
    </row>
    <row r="154" spans="1:8" ht="15" customHeight="1" thickTop="1" x14ac:dyDescent="0.25">
      <c r="A154" s="108"/>
      <c r="B154" s="108"/>
      <c r="C154" s="108"/>
      <c r="D154" s="108"/>
      <c r="E154" s="109"/>
      <c r="F154" s="235"/>
      <c r="G154" s="235"/>
      <c r="H154" s="108"/>
    </row>
    <row r="156" spans="1:8" ht="15" customHeight="1" x14ac:dyDescent="0.25">
      <c r="A156" s="102" t="s">
        <v>130</v>
      </c>
    </row>
    <row r="157" spans="1:8" ht="15" customHeight="1" x14ac:dyDescent="0.25">
      <c r="A157" s="102" t="s">
        <v>24</v>
      </c>
      <c r="E157" s="104">
        <v>17</v>
      </c>
    </row>
    <row r="158" spans="1:8" ht="15" customHeight="1" x14ac:dyDescent="0.25">
      <c r="B158" s="110" t="s">
        <v>25</v>
      </c>
      <c r="F158" s="111">
        <v>68143720.230000004</v>
      </c>
      <c r="G158" s="111">
        <v>68143720.230000004</v>
      </c>
      <c r="H158" s="111">
        <f t="shared" ref="H158:H159" si="18">F158-G158</f>
        <v>0</v>
      </c>
    </row>
    <row r="159" spans="1:8" ht="15" customHeight="1" x14ac:dyDescent="0.25">
      <c r="B159" s="110" t="s">
        <v>131</v>
      </c>
      <c r="F159" s="111">
        <v>15000000</v>
      </c>
      <c r="G159" s="111">
        <v>15000000</v>
      </c>
      <c r="H159" s="111">
        <f t="shared" si="18"/>
        <v>0</v>
      </c>
    </row>
    <row r="160" spans="1:8" ht="15" customHeight="1" x14ac:dyDescent="0.25">
      <c r="A160" s="114"/>
      <c r="B160" s="114"/>
      <c r="C160" s="114"/>
      <c r="D160" s="114"/>
      <c r="E160" s="115"/>
      <c r="F160" s="114"/>
      <c r="G160" s="114"/>
      <c r="H160" s="114"/>
    </row>
    <row r="161" spans="1:8" ht="15" customHeight="1" x14ac:dyDescent="0.25">
      <c r="A161" s="102" t="s">
        <v>74</v>
      </c>
      <c r="F161" s="116">
        <f>SUM(F158:F160)</f>
        <v>83143720.230000004</v>
      </c>
      <c r="G161" s="116">
        <f>SUM(G158:G160)</f>
        <v>83143720.230000004</v>
      </c>
      <c r="H161" s="116">
        <v>0</v>
      </c>
    </row>
    <row r="162" spans="1:8" ht="15" customHeight="1" x14ac:dyDescent="0.25">
      <c r="A162" s="114"/>
      <c r="B162" s="114"/>
      <c r="C162" s="114"/>
      <c r="D162" s="114"/>
      <c r="E162" s="115"/>
      <c r="F162" s="114"/>
      <c r="G162" s="114"/>
      <c r="H162" s="114"/>
    </row>
    <row r="163" spans="1:8" ht="15" customHeight="1" x14ac:dyDescent="0.25">
      <c r="A163" s="102" t="s">
        <v>26</v>
      </c>
      <c r="E163" s="104">
        <v>18</v>
      </c>
      <c r="F163" s="78"/>
      <c r="G163" s="78"/>
    </row>
    <row r="164" spans="1:8" ht="15" customHeight="1" x14ac:dyDescent="0.25">
      <c r="B164" s="110" t="s">
        <v>26</v>
      </c>
      <c r="F164" s="111">
        <f>5302629.38+20407828.16</f>
        <v>25710457.539999999</v>
      </c>
      <c r="G164" s="111">
        <v>22645631.489999998</v>
      </c>
      <c r="H164" s="111">
        <f t="shared" ref="H164" si="19">F164-G164</f>
        <v>3064826.0500000007</v>
      </c>
    </row>
    <row r="165" spans="1:8" ht="15" customHeight="1" x14ac:dyDescent="0.25">
      <c r="A165" s="102" t="s">
        <v>74</v>
      </c>
      <c r="F165" s="116">
        <f>F164</f>
        <v>25710457.539999999</v>
      </c>
      <c r="G165" s="116">
        <f>G164</f>
        <v>22645631.489999998</v>
      </c>
      <c r="H165" s="116">
        <f t="shared" ref="H165" si="20">H164</f>
        <v>3064826.0500000007</v>
      </c>
    </row>
    <row r="166" spans="1:8" ht="15" customHeight="1" x14ac:dyDescent="0.25">
      <c r="A166" s="102" t="s">
        <v>27</v>
      </c>
      <c r="F166" s="116">
        <f>F165+F161</f>
        <v>108854177.77000001</v>
      </c>
      <c r="G166" s="116">
        <f>G165+G161</f>
        <v>105789351.72</v>
      </c>
      <c r="H166" s="116">
        <f t="shared" ref="H166" si="21">H165+H161</f>
        <v>3064826.0500000007</v>
      </c>
    </row>
    <row r="167" spans="1:8" ht="15" customHeight="1" x14ac:dyDescent="0.25">
      <c r="A167" s="114"/>
      <c r="B167" s="114"/>
      <c r="C167" s="114"/>
      <c r="D167" s="114"/>
      <c r="E167" s="115"/>
      <c r="F167" s="114"/>
      <c r="G167" s="114"/>
      <c r="H167" s="114"/>
    </row>
    <row r="168" spans="1:8" ht="15" customHeight="1" thickBot="1" x14ac:dyDescent="0.3">
      <c r="A168" s="102" t="s">
        <v>28</v>
      </c>
      <c r="F168" s="116">
        <f>F166+F153</f>
        <v>261842384.06999999</v>
      </c>
      <c r="G168" s="116">
        <f>G166+G153</f>
        <v>241322209.92000002</v>
      </c>
      <c r="H168" s="116">
        <f>H166+H153</f>
        <v>20520174.150000006</v>
      </c>
    </row>
    <row r="169" spans="1:8" ht="15" customHeight="1" thickTop="1" x14ac:dyDescent="0.25">
      <c r="A169" s="108"/>
      <c r="B169" s="108"/>
      <c r="C169" s="108"/>
      <c r="D169" s="108"/>
      <c r="E169" s="109"/>
      <c r="F169" s="117">
        <f>F111-F168</f>
        <v>0</v>
      </c>
      <c r="G169" s="117">
        <f>G111-G168</f>
        <v>0</v>
      </c>
      <c r="H169" s="236">
        <f>H111-H168</f>
        <v>0</v>
      </c>
    </row>
    <row r="170" spans="1:8" ht="15" customHeight="1" x14ac:dyDescent="0.3">
      <c r="A170" s="118" t="s">
        <v>132</v>
      </c>
      <c r="F170" s="231"/>
    </row>
    <row r="171" spans="1:8" ht="15" customHeight="1" x14ac:dyDescent="0.25">
      <c r="F171" s="78"/>
      <c r="G171" s="78"/>
    </row>
    <row r="175" spans="1:8" ht="15" customHeight="1" x14ac:dyDescent="0.3">
      <c r="A175" s="119"/>
    </row>
    <row r="176" spans="1:8" ht="15" customHeight="1" x14ac:dyDescent="0.3">
      <c r="A176" s="120"/>
    </row>
  </sheetData>
  <printOptions horizontalCentered="1"/>
  <pageMargins left="0.2" right="0.2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D6" sqref="D6"/>
    </sheetView>
  </sheetViews>
  <sheetFormatPr defaultRowHeight="15" customHeight="1" x14ac:dyDescent="0.25"/>
  <cols>
    <col min="1" max="2" width="3.33203125" style="13" customWidth="1"/>
    <col min="3" max="3" width="38.44140625" style="13" customWidth="1"/>
    <col min="4" max="4" width="11.21875" style="51" customWidth="1"/>
    <col min="5" max="5" width="17.88671875" style="13" customWidth="1"/>
    <col min="6" max="6" width="18.6640625" style="13" customWidth="1"/>
    <col min="7" max="7" width="18.44140625" style="13" customWidth="1"/>
    <col min="8" max="8" width="15" style="13" bestFit="1" customWidth="1"/>
    <col min="9" max="16384" width="8.88671875" style="13"/>
  </cols>
  <sheetData>
    <row r="1" spans="1:7" ht="15" customHeight="1" x14ac:dyDescent="0.25">
      <c r="A1" s="14" t="s">
        <v>0</v>
      </c>
    </row>
    <row r="2" spans="1:7" ht="15" customHeight="1" x14ac:dyDescent="0.25">
      <c r="A2" s="15" t="s">
        <v>1</v>
      </c>
    </row>
    <row r="3" spans="1:7" ht="15" customHeight="1" x14ac:dyDescent="0.25">
      <c r="A3" s="14" t="s">
        <v>187</v>
      </c>
    </row>
    <row r="4" spans="1:7" ht="15" customHeight="1" x14ac:dyDescent="0.25">
      <c r="A4" s="14" t="str">
        <f>'Detailed SFP'!A4</f>
        <v>As of June 30, 2024</v>
      </c>
    </row>
    <row r="5" spans="1:7" ht="15" customHeight="1" x14ac:dyDescent="0.25">
      <c r="A5" s="14"/>
    </row>
    <row r="7" spans="1:7" ht="15" customHeight="1" thickBot="1" x14ac:dyDescent="0.3">
      <c r="D7" s="7" t="s">
        <v>64</v>
      </c>
      <c r="E7" s="16">
        <f>'Detailed SFP'!F6</f>
        <v>2024</v>
      </c>
      <c r="F7" s="16">
        <f>'Detailed SFP'!G6</f>
        <v>2023</v>
      </c>
      <c r="G7" s="16" t="s">
        <v>3</v>
      </c>
    </row>
    <row r="8" spans="1:7" ht="15" customHeight="1" thickTop="1" x14ac:dyDescent="0.25">
      <c r="A8" s="11"/>
      <c r="B8" s="11"/>
      <c r="C8" s="11"/>
      <c r="D8" s="52"/>
      <c r="E8" s="11"/>
      <c r="F8" s="11"/>
      <c r="G8" s="11"/>
    </row>
    <row r="9" spans="1:7" ht="15" customHeight="1" x14ac:dyDescent="0.25">
      <c r="A9" s="250" t="s">
        <v>188</v>
      </c>
      <c r="B9" s="250"/>
      <c r="C9" s="250"/>
    </row>
    <row r="10" spans="1:7" ht="15" customHeight="1" x14ac:dyDescent="0.25">
      <c r="A10" s="50"/>
      <c r="B10" s="50"/>
      <c r="C10" s="50"/>
    </row>
    <row r="11" spans="1:7" ht="15" customHeight="1" x14ac:dyDescent="0.25">
      <c r="A11" s="14" t="s">
        <v>30</v>
      </c>
      <c r="D11" s="51">
        <v>19</v>
      </c>
      <c r="E11" s="17">
        <f>'Detailed SCI'!E19</f>
        <v>47886804.510000005</v>
      </c>
      <c r="F11" s="17">
        <f>'Detailed SCI'!F19</f>
        <v>46220841.700000003</v>
      </c>
      <c r="G11" s="17">
        <f>E11-F11</f>
        <v>1665962.8100000024</v>
      </c>
    </row>
    <row r="12" spans="1:7" ht="15" customHeight="1" x14ac:dyDescent="0.25">
      <c r="A12" s="12"/>
      <c r="B12" s="12"/>
      <c r="C12" s="12"/>
      <c r="D12" s="53"/>
      <c r="E12" s="12"/>
      <c r="F12" s="12"/>
      <c r="G12" s="12"/>
    </row>
    <row r="13" spans="1:7" ht="15" customHeight="1" x14ac:dyDescent="0.25">
      <c r="A13" s="250" t="s">
        <v>138</v>
      </c>
      <c r="B13" s="250"/>
      <c r="C13" s="250"/>
    </row>
    <row r="15" spans="1:7" ht="15" customHeight="1" x14ac:dyDescent="0.25">
      <c r="A15" s="55" t="s">
        <v>31</v>
      </c>
      <c r="C15" s="18"/>
      <c r="D15" s="56">
        <v>20</v>
      </c>
      <c r="E15" s="54">
        <f>'Detailed SCI'!E50</f>
        <v>33475611.880000003</v>
      </c>
      <c r="F15" s="54">
        <f>'Detailed SCI'!F50</f>
        <v>28859258.830000002</v>
      </c>
      <c r="G15" s="54">
        <f>E15-F15</f>
        <v>4616353.0500000007</v>
      </c>
    </row>
    <row r="16" spans="1:7" ht="15" customHeight="1" x14ac:dyDescent="0.25">
      <c r="A16" s="55" t="s">
        <v>32</v>
      </c>
      <c r="D16" s="51">
        <v>21</v>
      </c>
      <c r="E16" s="54">
        <f>'Detailed SCI'!E99</f>
        <v>6684979.7599999988</v>
      </c>
      <c r="F16" s="54">
        <f>'Detailed SCI'!F99</f>
        <v>6715489.3320000004</v>
      </c>
      <c r="G16" s="54">
        <f t="shared" ref="G16:G17" si="0">E16-F16</f>
        <v>-30509.572000001557</v>
      </c>
    </row>
    <row r="17" spans="1:7" ht="15" customHeight="1" x14ac:dyDescent="0.25">
      <c r="A17" s="57" t="s">
        <v>33</v>
      </c>
      <c r="B17" s="19"/>
      <c r="C17" s="19"/>
      <c r="D17" s="58">
        <v>22</v>
      </c>
      <c r="E17" s="59">
        <f>'Detailed SCI'!E107</f>
        <v>689808.48</v>
      </c>
      <c r="F17" s="59">
        <f>'Detailed SCI'!F107</f>
        <v>730931.61999999988</v>
      </c>
      <c r="G17" s="54">
        <f t="shared" si="0"/>
        <v>-41123.139999999898</v>
      </c>
    </row>
    <row r="18" spans="1:7" ht="15" customHeight="1" x14ac:dyDescent="0.25">
      <c r="A18" s="63" t="s">
        <v>69</v>
      </c>
      <c r="B18" s="64"/>
      <c r="C18" s="64"/>
      <c r="D18" s="65"/>
      <c r="E18" s="66">
        <f>SUM(E15:E17)</f>
        <v>40850400.119999997</v>
      </c>
      <c r="F18" s="66">
        <f>SUM(F15:F17)</f>
        <v>36305679.781999998</v>
      </c>
      <c r="G18" s="66">
        <f t="shared" ref="G18" si="1">SUM(G15:G17)</f>
        <v>4544720.3379999995</v>
      </c>
    </row>
    <row r="19" spans="1:7" ht="15" customHeight="1" x14ac:dyDescent="0.25">
      <c r="A19" s="61" t="s">
        <v>70</v>
      </c>
      <c r="B19" s="19"/>
      <c r="C19" s="19"/>
      <c r="D19" s="58"/>
      <c r="E19" s="60">
        <f>E11-E18</f>
        <v>7036404.390000008</v>
      </c>
      <c r="F19" s="60">
        <f>F11-F18</f>
        <v>9915161.9180000052</v>
      </c>
      <c r="G19" s="60">
        <f>E19-F19</f>
        <v>-2878757.5279999971</v>
      </c>
    </row>
    <row r="20" spans="1:7" ht="15" customHeight="1" x14ac:dyDescent="0.25">
      <c r="A20" s="57" t="s">
        <v>68</v>
      </c>
      <c r="B20" s="19"/>
      <c r="C20" s="19"/>
      <c r="D20" s="58"/>
      <c r="E20" s="62">
        <f>'Detailed SCI'!E113</f>
        <v>1733775.01</v>
      </c>
      <c r="F20" s="62">
        <f>'Detailed SCI'!F113</f>
        <v>2452032.9500000002</v>
      </c>
      <c r="G20" s="62">
        <f>E20-F20</f>
        <v>-718257.94000000018</v>
      </c>
    </row>
    <row r="21" spans="1:7" ht="15" customHeight="1" thickBot="1" x14ac:dyDescent="0.3">
      <c r="A21" s="14" t="s">
        <v>71</v>
      </c>
      <c r="E21" s="17">
        <f>E19-E20</f>
        <v>5302629.3800000083</v>
      </c>
      <c r="F21" s="17">
        <f>F19-F20</f>
        <v>7463128.968000005</v>
      </c>
      <c r="G21" s="17">
        <f>E21-F21</f>
        <v>-2160499.5879999967</v>
      </c>
    </row>
    <row r="22" spans="1:7" ht="15" customHeight="1" thickTop="1" x14ac:dyDescent="0.25">
      <c r="A22" s="11"/>
      <c r="B22" s="11"/>
      <c r="C22" s="11"/>
      <c r="D22" s="52"/>
      <c r="E22" s="11"/>
      <c r="F22" s="215"/>
      <c r="G22" s="214"/>
    </row>
    <row r="23" spans="1:7" s="9" customFormat="1" ht="15" customHeight="1" x14ac:dyDescent="0.3">
      <c r="A23" s="1" t="s">
        <v>60</v>
      </c>
      <c r="B23" s="4"/>
      <c r="C23" s="4"/>
      <c r="D23" s="8"/>
      <c r="E23" s="2"/>
    </row>
    <row r="24" spans="1:7" s="9" customFormat="1" ht="15" customHeight="1" x14ac:dyDescent="0.25">
      <c r="A24" s="4"/>
      <c r="B24" s="4"/>
      <c r="C24" s="4"/>
      <c r="D24" s="8"/>
      <c r="E24" s="10"/>
      <c r="F24" s="2"/>
      <c r="G24" s="21"/>
    </row>
    <row r="25" spans="1:7" s="9" customFormat="1" ht="15" customHeight="1" x14ac:dyDescent="0.25">
      <c r="A25" s="3"/>
      <c r="B25" s="3"/>
      <c r="C25" s="3"/>
      <c r="D25" s="2"/>
      <c r="E25" s="10"/>
      <c r="F25" s="2"/>
      <c r="G25" s="23"/>
    </row>
    <row r="26" spans="1:7" s="9" customFormat="1" ht="15" customHeight="1" x14ac:dyDescent="0.25">
      <c r="A26" s="3"/>
      <c r="B26" s="3"/>
      <c r="C26" s="3"/>
      <c r="D26" s="2"/>
      <c r="E26" s="3"/>
      <c r="F26" s="2"/>
      <c r="G26" s="23"/>
    </row>
    <row r="27" spans="1:7" s="9" customFormat="1" ht="15" customHeight="1" x14ac:dyDescent="0.25">
      <c r="A27" s="3"/>
      <c r="B27" s="3"/>
      <c r="C27" s="3"/>
      <c r="D27" s="2"/>
      <c r="E27" s="3"/>
      <c r="F27" s="8"/>
    </row>
    <row r="28" spans="1:7" s="9" customFormat="1" ht="15" customHeight="1" x14ac:dyDescent="0.3">
      <c r="A28" s="5"/>
      <c r="B28" s="3"/>
      <c r="C28" s="3"/>
      <c r="D28" s="2"/>
      <c r="E28" s="3"/>
      <c r="F28" s="8"/>
    </row>
    <row r="29" spans="1:7" s="9" customFormat="1" ht="15" customHeight="1" x14ac:dyDescent="0.3">
      <c r="A29" s="6"/>
      <c r="B29" s="3"/>
      <c r="C29" s="3"/>
      <c r="D29" s="2"/>
      <c r="E29" s="3"/>
      <c r="F29" s="8"/>
    </row>
  </sheetData>
  <mergeCells count="2">
    <mergeCell ref="A9:C9"/>
    <mergeCell ref="A13:C13"/>
  </mergeCells>
  <printOptions horizontalCentered="1"/>
  <pageMargins left="0.2" right="0.2" top="1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G123"/>
  <sheetViews>
    <sheetView tabSelected="1" zoomScaleNormal="100" workbookViewId="0">
      <selection activeCell="D17" sqref="D17"/>
    </sheetView>
  </sheetViews>
  <sheetFormatPr defaultRowHeight="15" customHeight="1" x14ac:dyDescent="0.25"/>
  <cols>
    <col min="1" max="2" width="3.33203125" style="121" customWidth="1"/>
    <col min="3" max="3" width="54.6640625" style="121" customWidth="1"/>
    <col min="4" max="4" width="12.6640625" style="104" customWidth="1"/>
    <col min="5" max="5" width="17.109375" style="121" customWidth="1"/>
    <col min="6" max="7" width="16.6640625" style="121" customWidth="1"/>
    <col min="8" max="8" width="8.88671875" style="121"/>
    <col min="9" max="9" width="18.21875" style="121" bestFit="1" customWidth="1"/>
    <col min="10" max="16384" width="8.88671875" style="121"/>
  </cols>
  <sheetData>
    <row r="1" spans="1:7" ht="15" customHeight="1" x14ac:dyDescent="0.3">
      <c r="A1" s="102" t="s">
        <v>0</v>
      </c>
      <c r="F1" s="244"/>
    </row>
    <row r="2" spans="1:7" ht="15" customHeight="1" x14ac:dyDescent="0.25">
      <c r="A2" s="105" t="s">
        <v>1</v>
      </c>
    </row>
    <row r="3" spans="1:7" ht="15" customHeight="1" x14ac:dyDescent="0.25">
      <c r="A3" s="102" t="s">
        <v>29</v>
      </c>
    </row>
    <row r="4" spans="1:7" ht="15" customHeight="1" x14ac:dyDescent="0.25">
      <c r="A4" s="102" t="str">
        <f>SCI!A4</f>
        <v>As of June 30, 2024</v>
      </c>
    </row>
    <row r="6" spans="1:7" ht="15" customHeight="1" thickBot="1" x14ac:dyDescent="0.35">
      <c r="D6" s="106" t="s">
        <v>73</v>
      </c>
      <c r="E6" s="107">
        <f>SCI!E7</f>
        <v>2024</v>
      </c>
      <c r="F6" s="107">
        <f>SCI!F7</f>
        <v>2023</v>
      </c>
      <c r="G6" s="107" t="s">
        <v>3</v>
      </c>
    </row>
    <row r="7" spans="1:7" ht="15" customHeight="1" thickTop="1" x14ac:dyDescent="0.25">
      <c r="A7" s="122"/>
      <c r="B7" s="122"/>
      <c r="C7" s="122"/>
      <c r="D7" s="109"/>
      <c r="E7" s="122"/>
      <c r="F7" s="122"/>
      <c r="G7" s="122"/>
    </row>
    <row r="8" spans="1:7" ht="15" customHeight="1" x14ac:dyDescent="0.25">
      <c r="A8" s="102" t="s">
        <v>188</v>
      </c>
    </row>
    <row r="9" spans="1:7" ht="15" customHeight="1" x14ac:dyDescent="0.25">
      <c r="A9" s="102" t="s">
        <v>30</v>
      </c>
      <c r="D9" s="104">
        <v>19</v>
      </c>
    </row>
    <row r="10" spans="1:7" ht="15" customHeight="1" x14ac:dyDescent="0.25">
      <c r="A10" s="102" t="s">
        <v>133</v>
      </c>
      <c r="D10" s="121"/>
    </row>
    <row r="11" spans="1:7" ht="15" customHeight="1" x14ac:dyDescent="0.25">
      <c r="B11" s="110" t="s">
        <v>134</v>
      </c>
      <c r="E11" s="111">
        <v>3225363.81</v>
      </c>
      <c r="F11" s="111">
        <v>3865492.95</v>
      </c>
      <c r="G11" s="111">
        <f>E11-F11</f>
        <v>-640129.14000000013</v>
      </c>
    </row>
    <row r="12" spans="1:7" ht="15" customHeight="1" x14ac:dyDescent="0.25">
      <c r="A12" s="102" t="s">
        <v>135</v>
      </c>
    </row>
    <row r="13" spans="1:7" ht="15" customHeight="1" x14ac:dyDescent="0.25">
      <c r="B13" s="110" t="s">
        <v>136</v>
      </c>
      <c r="E13" s="111">
        <v>44490918</v>
      </c>
      <c r="F13" s="111">
        <v>42222143.810000002</v>
      </c>
      <c r="G13" s="111">
        <f t="shared" ref="G13:G17" si="0">E13-F13</f>
        <v>2268774.1899999976</v>
      </c>
    </row>
    <row r="14" spans="1:7" ht="15" customHeight="1" x14ac:dyDescent="0.25">
      <c r="B14" s="110" t="s">
        <v>137</v>
      </c>
      <c r="E14" s="111">
        <v>101304.38</v>
      </c>
      <c r="F14" s="111">
        <v>107030.16</v>
      </c>
      <c r="G14" s="111">
        <f t="shared" si="0"/>
        <v>-5725.7799999999988</v>
      </c>
    </row>
    <row r="15" spans="1:7" ht="15" customHeight="1" x14ac:dyDescent="0.25">
      <c r="B15" s="110" t="s">
        <v>235</v>
      </c>
      <c r="E15" s="111">
        <v>59583.33</v>
      </c>
      <c r="F15" s="111">
        <v>26174.78</v>
      </c>
      <c r="G15" s="111">
        <f t="shared" si="0"/>
        <v>33408.550000000003</v>
      </c>
    </row>
    <row r="16" spans="1:7" ht="15" customHeight="1" x14ac:dyDescent="0.3">
      <c r="A16" s="119" t="s">
        <v>261</v>
      </c>
      <c r="B16" s="110"/>
      <c r="E16" s="111"/>
      <c r="F16" s="111"/>
      <c r="G16" s="111"/>
    </row>
    <row r="17" spans="1:7" ht="15" customHeight="1" x14ac:dyDescent="0.25">
      <c r="B17" s="110" t="s">
        <v>261</v>
      </c>
      <c r="E17" s="111">
        <v>9634.99</v>
      </c>
      <c r="F17" s="111">
        <v>0</v>
      </c>
      <c r="G17" s="111">
        <f t="shared" si="0"/>
        <v>9634.99</v>
      </c>
    </row>
    <row r="18" spans="1:7" ht="15" customHeight="1" x14ac:dyDescent="0.25">
      <c r="A18" s="123"/>
      <c r="B18" s="123"/>
      <c r="C18" s="123"/>
      <c r="D18" s="124"/>
      <c r="E18" s="123"/>
      <c r="F18" s="123"/>
      <c r="G18" s="123"/>
    </row>
    <row r="19" spans="1:7" ht="15" customHeight="1" x14ac:dyDescent="0.25">
      <c r="A19" s="102" t="s">
        <v>189</v>
      </c>
      <c r="E19" s="125">
        <f>SUM(E11:E17)</f>
        <v>47886804.510000005</v>
      </c>
      <c r="F19" s="125">
        <f t="shared" ref="F19:G19" si="1">SUM(F11:F17)</f>
        <v>46220841.700000003</v>
      </c>
      <c r="G19" s="125">
        <f t="shared" si="1"/>
        <v>1665962.8099999975</v>
      </c>
    </row>
    <row r="20" spans="1:7" ht="15" customHeight="1" x14ac:dyDescent="0.25">
      <c r="A20" s="123"/>
      <c r="B20" s="123"/>
      <c r="C20" s="123"/>
      <c r="D20" s="124"/>
      <c r="E20" s="229"/>
      <c r="F20" s="123"/>
      <c r="G20" s="126"/>
    </row>
    <row r="21" spans="1:7" ht="15" customHeight="1" x14ac:dyDescent="0.25">
      <c r="A21" s="102" t="s">
        <v>138</v>
      </c>
      <c r="E21" s="153"/>
    </row>
    <row r="22" spans="1:7" ht="15" customHeight="1" x14ac:dyDescent="0.25">
      <c r="A22" s="102" t="s">
        <v>31</v>
      </c>
      <c r="D22" s="104">
        <v>20</v>
      </c>
    </row>
    <row r="23" spans="1:7" ht="15" customHeight="1" x14ac:dyDescent="0.25">
      <c r="B23" s="102" t="s">
        <v>139</v>
      </c>
    </row>
    <row r="24" spans="1:7" ht="15" customHeight="1" x14ac:dyDescent="0.25">
      <c r="C24" s="110" t="s">
        <v>140</v>
      </c>
      <c r="E24" s="111">
        <v>18419809.710000001</v>
      </c>
      <c r="F24" s="111">
        <v>18547476.16</v>
      </c>
      <c r="G24" s="111">
        <f t="shared" ref="G24" si="2">E24-F24</f>
        <v>-127666.44999999925</v>
      </c>
    </row>
    <row r="25" spans="1:7" ht="15" customHeight="1" x14ac:dyDescent="0.3">
      <c r="B25" s="119" t="s">
        <v>190</v>
      </c>
      <c r="E25" s="151">
        <f>E24</f>
        <v>18419809.710000001</v>
      </c>
      <c r="F25" s="151">
        <f>F24</f>
        <v>18547476.16</v>
      </c>
      <c r="G25" s="151">
        <f>E25-F25</f>
        <v>-127666.44999999925</v>
      </c>
    </row>
    <row r="26" spans="1:7" ht="15" customHeight="1" x14ac:dyDescent="0.25">
      <c r="B26" s="102" t="s">
        <v>141</v>
      </c>
    </row>
    <row r="27" spans="1:7" ht="15" customHeight="1" x14ac:dyDescent="0.25">
      <c r="C27" s="110" t="s">
        <v>142</v>
      </c>
      <c r="E27" s="111">
        <v>702797.68</v>
      </c>
      <c r="F27" s="111">
        <v>699423.43</v>
      </c>
      <c r="G27" s="111">
        <f t="shared" ref="G27:G31" si="3">E27-F27</f>
        <v>3374.25</v>
      </c>
    </row>
    <row r="28" spans="1:7" ht="15" customHeight="1" x14ac:dyDescent="0.25">
      <c r="C28" s="110" t="s">
        <v>143</v>
      </c>
      <c r="D28" s="232"/>
      <c r="E28" s="111">
        <v>417000</v>
      </c>
      <c r="F28" s="111">
        <v>405000</v>
      </c>
      <c r="G28" s="111">
        <f t="shared" si="3"/>
        <v>12000</v>
      </c>
    </row>
    <row r="29" spans="1:7" ht="15" customHeight="1" x14ac:dyDescent="0.25">
      <c r="C29" s="110" t="s">
        <v>144</v>
      </c>
      <c r="E29" s="111">
        <v>417000</v>
      </c>
      <c r="F29" s="111">
        <v>405000</v>
      </c>
      <c r="G29" s="111">
        <f t="shared" si="3"/>
        <v>12000</v>
      </c>
    </row>
    <row r="30" spans="1:7" ht="15" customHeight="1" x14ac:dyDescent="0.25">
      <c r="C30" s="110" t="s">
        <v>247</v>
      </c>
      <c r="E30" s="111">
        <v>413000</v>
      </c>
      <c r="F30" s="111">
        <v>330000</v>
      </c>
      <c r="G30" s="111">
        <f t="shared" si="3"/>
        <v>83000</v>
      </c>
    </row>
    <row r="31" spans="1:7" ht="15" customHeight="1" x14ac:dyDescent="0.25">
      <c r="C31" s="110" t="s">
        <v>145</v>
      </c>
      <c r="E31" s="111">
        <v>777941.61</v>
      </c>
      <c r="F31" s="111">
        <v>551034.28</v>
      </c>
      <c r="G31" s="111">
        <f t="shared" si="3"/>
        <v>226907.32999999996</v>
      </c>
    </row>
    <row r="32" spans="1:7" ht="15" customHeight="1" x14ac:dyDescent="0.25">
      <c r="C32" s="110" t="s">
        <v>249</v>
      </c>
      <c r="E32" s="111">
        <v>1542200.7</v>
      </c>
      <c r="F32" s="111">
        <v>1550812.24</v>
      </c>
      <c r="G32" s="111">
        <f>E32-F32</f>
        <v>-8611.5400000000373</v>
      </c>
    </row>
    <row r="33" spans="2:7" ht="15" customHeight="1" x14ac:dyDescent="0.25">
      <c r="C33" s="110" t="s">
        <v>240</v>
      </c>
      <c r="E33" s="111">
        <v>147499.99</v>
      </c>
      <c r="F33" s="111">
        <v>148437.49</v>
      </c>
      <c r="G33" s="111">
        <f t="shared" ref="G33" si="4">E33-F33</f>
        <v>-937.5</v>
      </c>
    </row>
    <row r="34" spans="2:7" ht="15" customHeight="1" x14ac:dyDescent="0.25">
      <c r="C34" s="110" t="s">
        <v>248</v>
      </c>
      <c r="E34" s="111">
        <v>3093842</v>
      </c>
      <c r="F34" s="111">
        <v>3006275</v>
      </c>
      <c r="G34" s="111">
        <f t="shared" ref="G34:G35" si="5">E34-F34</f>
        <v>87567</v>
      </c>
    </row>
    <row r="35" spans="2:7" ht="15" customHeight="1" x14ac:dyDescent="0.25">
      <c r="C35" s="110" t="s">
        <v>257</v>
      </c>
      <c r="E35" s="111">
        <v>0</v>
      </c>
      <c r="F35" s="111">
        <v>168000</v>
      </c>
      <c r="G35" s="111">
        <f t="shared" si="5"/>
        <v>-168000</v>
      </c>
    </row>
    <row r="36" spans="2:7" ht="15" customHeight="1" x14ac:dyDescent="0.25">
      <c r="C36" s="110" t="s">
        <v>146</v>
      </c>
      <c r="E36" s="111">
        <v>1425000</v>
      </c>
      <c r="F36" s="111">
        <v>1216000</v>
      </c>
      <c r="G36" s="111">
        <f>E36-F36</f>
        <v>209000</v>
      </c>
    </row>
    <row r="37" spans="2:7" ht="15" customHeight="1" x14ac:dyDescent="0.3">
      <c r="B37" s="119" t="s">
        <v>191</v>
      </c>
      <c r="C37" s="110"/>
      <c r="E37" s="151">
        <f>SUM(E27:E36)</f>
        <v>8936281.9800000004</v>
      </c>
      <c r="F37" s="151">
        <f>SUM(F27:F36)</f>
        <v>8479982.4400000013</v>
      </c>
      <c r="G37" s="151">
        <f>SUM(G27:G36)</f>
        <v>456299.53999999992</v>
      </c>
    </row>
    <row r="38" spans="2:7" ht="15" customHeight="1" x14ac:dyDescent="0.25">
      <c r="B38" s="102" t="s">
        <v>147</v>
      </c>
      <c r="G38" s="111"/>
    </row>
    <row r="39" spans="2:7" ht="15" customHeight="1" x14ac:dyDescent="0.25">
      <c r="C39" s="110" t="s">
        <v>148</v>
      </c>
      <c r="E39" s="111">
        <v>53000</v>
      </c>
      <c r="F39" s="111">
        <v>28700</v>
      </c>
      <c r="G39" s="111">
        <f t="shared" ref="G39:G43" si="6">E39-F39</f>
        <v>24300</v>
      </c>
    </row>
    <row r="40" spans="2:7" ht="15" customHeight="1" x14ac:dyDescent="0.25">
      <c r="C40" s="110" t="s">
        <v>149</v>
      </c>
      <c r="E40" s="111">
        <v>355616.06</v>
      </c>
      <c r="F40" s="111">
        <v>263348.65999999997</v>
      </c>
      <c r="G40" s="111">
        <f t="shared" si="6"/>
        <v>92267.400000000023</v>
      </c>
    </row>
    <row r="41" spans="2:7" ht="15" customHeight="1" x14ac:dyDescent="0.25">
      <c r="C41" s="110" t="s">
        <v>150</v>
      </c>
      <c r="E41" s="111">
        <v>8850</v>
      </c>
      <c r="F41" s="111">
        <v>8450</v>
      </c>
      <c r="G41" s="111">
        <f t="shared" si="6"/>
        <v>400</v>
      </c>
    </row>
    <row r="42" spans="2:7" ht="15" customHeight="1" x14ac:dyDescent="0.25">
      <c r="C42" s="110" t="s">
        <v>151</v>
      </c>
      <c r="E42" s="111">
        <v>815670</v>
      </c>
      <c r="F42" s="111">
        <v>784842.5</v>
      </c>
      <c r="G42" s="111">
        <f t="shared" si="6"/>
        <v>30827.5</v>
      </c>
    </row>
    <row r="43" spans="2:7" ht="15" customHeight="1" x14ac:dyDescent="0.25">
      <c r="C43" s="110" t="s">
        <v>256</v>
      </c>
      <c r="E43" s="111">
        <v>1804176.69</v>
      </c>
      <c r="F43" s="111">
        <v>0</v>
      </c>
      <c r="G43" s="111">
        <f t="shared" si="6"/>
        <v>1804176.69</v>
      </c>
    </row>
    <row r="44" spans="2:7" ht="15" customHeight="1" x14ac:dyDescent="0.3">
      <c r="B44" s="102" t="s">
        <v>192</v>
      </c>
      <c r="E44" s="152">
        <f>SUM(E39:E43)</f>
        <v>3037312.75</v>
      </c>
      <c r="F44" s="152">
        <f>SUM(F39:F43)</f>
        <v>1085341.1599999999</v>
      </c>
      <c r="G44" s="152">
        <f>SUM(G39:G43)</f>
        <v>1951971.5899999999</v>
      </c>
    </row>
    <row r="45" spans="2:7" ht="15" customHeight="1" x14ac:dyDescent="0.25">
      <c r="B45" s="102" t="s">
        <v>193</v>
      </c>
      <c r="C45" s="110"/>
      <c r="E45" s="111"/>
      <c r="F45" s="111"/>
      <c r="G45" s="111"/>
    </row>
    <row r="46" spans="2:7" ht="15" customHeight="1" x14ac:dyDescent="0.25">
      <c r="C46" s="121" t="s">
        <v>272</v>
      </c>
      <c r="D46" s="121"/>
      <c r="E46" s="111">
        <v>2526571.46</v>
      </c>
      <c r="F46" s="111">
        <v>0</v>
      </c>
      <c r="G46" s="111">
        <f t="shared" ref="G46:G47" si="7">E46-F46</f>
        <v>2526571.46</v>
      </c>
    </row>
    <row r="47" spans="2:7" ht="15" customHeight="1" x14ac:dyDescent="0.25">
      <c r="C47" s="110" t="s">
        <v>152</v>
      </c>
      <c r="E47" s="111">
        <v>555635.98</v>
      </c>
      <c r="F47" s="111">
        <v>746459.07</v>
      </c>
      <c r="G47" s="111">
        <f t="shared" si="7"/>
        <v>-190823.08999999997</v>
      </c>
    </row>
    <row r="48" spans="2:7" ht="15" customHeight="1" x14ac:dyDescent="0.25">
      <c r="B48" s="102" t="s">
        <v>198</v>
      </c>
      <c r="C48" s="110"/>
      <c r="E48" s="151">
        <f>E46+E47</f>
        <v>3082207.44</v>
      </c>
      <c r="F48" s="151">
        <f t="shared" ref="F48:G48" si="8">F46+F47</f>
        <v>746459.07</v>
      </c>
      <c r="G48" s="151">
        <f t="shared" si="8"/>
        <v>2335748.37</v>
      </c>
    </row>
    <row r="49" spans="1:7" ht="15" customHeight="1" x14ac:dyDescent="0.25">
      <c r="A49" s="123"/>
      <c r="B49" s="123"/>
      <c r="C49" s="123"/>
      <c r="D49" s="124"/>
      <c r="E49" s="123"/>
      <c r="F49" s="123"/>
      <c r="G49" s="123"/>
    </row>
    <row r="50" spans="1:7" ht="15" customHeight="1" x14ac:dyDescent="0.25">
      <c r="B50" s="127" t="s">
        <v>194</v>
      </c>
      <c r="C50" s="127"/>
      <c r="D50" s="128"/>
      <c r="E50" s="125">
        <f>E25+E37+E44+E48</f>
        <v>33475611.880000003</v>
      </c>
      <c r="F50" s="125">
        <f>F25+F37+F44+F48</f>
        <v>28859258.830000002</v>
      </c>
      <c r="G50" s="125">
        <f>G25+G37+G44+G48</f>
        <v>4616353.0500000007</v>
      </c>
    </row>
    <row r="51" spans="1:7" ht="15" customHeight="1" x14ac:dyDescent="0.25">
      <c r="A51" s="123"/>
      <c r="B51" s="123"/>
      <c r="C51" s="123"/>
      <c r="D51" s="124"/>
      <c r="E51" s="230"/>
      <c r="F51" s="229"/>
      <c r="G51" s="123"/>
    </row>
    <row r="52" spans="1:7" ht="15" customHeight="1" x14ac:dyDescent="0.25">
      <c r="A52" s="102" t="s">
        <v>32</v>
      </c>
      <c r="D52" s="104">
        <v>21</v>
      </c>
    </row>
    <row r="53" spans="1:7" ht="15" customHeight="1" x14ac:dyDescent="0.25">
      <c r="B53" s="102" t="s">
        <v>153</v>
      </c>
    </row>
    <row r="54" spans="1:7" ht="15" customHeight="1" x14ac:dyDescent="0.25">
      <c r="C54" s="110" t="s">
        <v>154</v>
      </c>
      <c r="E54" s="111">
        <f>786186.69+380557</f>
        <v>1166743.69</v>
      </c>
      <c r="F54" s="111">
        <v>1240141.01</v>
      </c>
      <c r="G54" s="111">
        <f t="shared" ref="G54:G97" si="9">E54-F54</f>
        <v>-73397.320000000065</v>
      </c>
    </row>
    <row r="55" spans="1:7" ht="15" customHeight="1" x14ac:dyDescent="0.25">
      <c r="B55" s="102" t="s">
        <v>155</v>
      </c>
      <c r="E55" s="153"/>
      <c r="F55" s="153"/>
      <c r="G55" s="111"/>
    </row>
    <row r="56" spans="1:7" ht="15" customHeight="1" x14ac:dyDescent="0.25">
      <c r="C56" s="110" t="s">
        <v>156</v>
      </c>
      <c r="E56" s="111">
        <v>191409.5</v>
      </c>
      <c r="F56" s="111">
        <v>122123.27</v>
      </c>
      <c r="G56" s="111">
        <f t="shared" si="9"/>
        <v>69286.23</v>
      </c>
    </row>
    <row r="57" spans="1:7" ht="15" customHeight="1" x14ac:dyDescent="0.25">
      <c r="B57" s="102" t="s">
        <v>157</v>
      </c>
      <c r="G57" s="111"/>
    </row>
    <row r="58" spans="1:7" ht="15" customHeight="1" x14ac:dyDescent="0.25">
      <c r="C58" s="110" t="s">
        <v>195</v>
      </c>
      <c r="E58" s="111">
        <v>596807.03</v>
      </c>
      <c r="F58" s="111">
        <v>719295.63</v>
      </c>
      <c r="G58" s="111">
        <f t="shared" si="9"/>
        <v>-122488.59999999998</v>
      </c>
    </row>
    <row r="59" spans="1:7" ht="15" customHeight="1" x14ac:dyDescent="0.25">
      <c r="C59" s="110" t="s">
        <v>276</v>
      </c>
      <c r="E59" s="111">
        <v>10000</v>
      </c>
      <c r="F59" s="111">
        <v>0</v>
      </c>
      <c r="G59" s="111">
        <f t="shared" si="9"/>
        <v>10000</v>
      </c>
    </row>
    <row r="60" spans="1:7" ht="15" customHeight="1" x14ac:dyDescent="0.25">
      <c r="C60" s="110" t="s">
        <v>277</v>
      </c>
      <c r="E60" s="111">
        <v>9134.5</v>
      </c>
      <c r="F60" s="111">
        <v>71773.5</v>
      </c>
      <c r="G60" s="111">
        <f t="shared" si="9"/>
        <v>-62639</v>
      </c>
    </row>
    <row r="61" spans="1:7" ht="15" customHeight="1" x14ac:dyDescent="0.25">
      <c r="C61" s="110" t="s">
        <v>250</v>
      </c>
      <c r="E61" s="111">
        <v>150718.79999999999</v>
      </c>
      <c r="F61" s="111">
        <v>213225.7</v>
      </c>
      <c r="G61" s="111">
        <f t="shared" si="9"/>
        <v>-62506.900000000023</v>
      </c>
    </row>
    <row r="62" spans="1:7" ht="15" customHeight="1" x14ac:dyDescent="0.25">
      <c r="C62" s="110" t="s">
        <v>268</v>
      </c>
      <c r="E62" s="111">
        <v>345652</v>
      </c>
      <c r="F62" s="111">
        <v>0</v>
      </c>
      <c r="G62" s="111">
        <f t="shared" si="9"/>
        <v>345652</v>
      </c>
    </row>
    <row r="63" spans="1:7" ht="15" customHeight="1" x14ac:dyDescent="0.25">
      <c r="C63" s="110" t="s">
        <v>264</v>
      </c>
      <c r="E63" s="111">
        <v>88360</v>
      </c>
      <c r="F63" s="111">
        <v>27460</v>
      </c>
      <c r="G63" s="111">
        <f t="shared" si="9"/>
        <v>60900</v>
      </c>
    </row>
    <row r="64" spans="1:7" ht="15" customHeight="1" x14ac:dyDescent="0.25">
      <c r="C64" s="110" t="s">
        <v>284</v>
      </c>
      <c r="E64" s="111">
        <v>254</v>
      </c>
      <c r="F64" s="111">
        <v>260</v>
      </c>
      <c r="G64" s="111">
        <f t="shared" si="9"/>
        <v>-6</v>
      </c>
    </row>
    <row r="65" spans="2:7" ht="15" customHeight="1" x14ac:dyDescent="0.25">
      <c r="B65" s="102" t="s">
        <v>158</v>
      </c>
      <c r="E65" s="129"/>
      <c r="F65" s="129"/>
      <c r="G65" s="111"/>
    </row>
    <row r="66" spans="2:7" ht="15" customHeight="1" x14ac:dyDescent="0.25">
      <c r="B66" s="102"/>
      <c r="C66" s="121" t="s">
        <v>278</v>
      </c>
      <c r="E66" s="129">
        <v>45138.07</v>
      </c>
      <c r="F66" s="129">
        <v>0</v>
      </c>
      <c r="G66" s="111">
        <f t="shared" si="9"/>
        <v>45138.07</v>
      </c>
    </row>
    <row r="67" spans="2:7" ht="15" customHeight="1" x14ac:dyDescent="0.25">
      <c r="C67" s="110" t="s">
        <v>159</v>
      </c>
      <c r="E67" s="111">
        <v>288079.89</v>
      </c>
      <c r="F67" s="111">
        <v>346294.08</v>
      </c>
      <c r="G67" s="111">
        <f t="shared" si="9"/>
        <v>-58214.19</v>
      </c>
    </row>
    <row r="68" spans="2:7" ht="15" customHeight="1" x14ac:dyDescent="0.25">
      <c r="B68" s="102" t="s">
        <v>160</v>
      </c>
      <c r="E68" s="111"/>
      <c r="F68" s="111"/>
      <c r="G68" s="111"/>
    </row>
    <row r="69" spans="2:7" ht="15" customHeight="1" x14ac:dyDescent="0.25">
      <c r="C69" s="110" t="s">
        <v>203</v>
      </c>
      <c r="E69" s="21">
        <v>16213</v>
      </c>
      <c r="F69" s="21">
        <v>17402.8</v>
      </c>
      <c r="G69" s="111">
        <f t="shared" si="9"/>
        <v>-1189.7999999999993</v>
      </c>
    </row>
    <row r="70" spans="2:7" ht="15" customHeight="1" x14ac:dyDescent="0.25">
      <c r="C70" s="110" t="s">
        <v>204</v>
      </c>
      <c r="E70" s="21">
        <f>1761.66+104723.06+101879.83+112154.89</f>
        <v>320519.44</v>
      </c>
      <c r="F70" s="155">
        <v>349415.88</v>
      </c>
      <c r="G70" s="111">
        <f t="shared" si="9"/>
        <v>-28896.440000000002</v>
      </c>
    </row>
    <row r="71" spans="2:7" ht="15" customHeight="1" x14ac:dyDescent="0.25">
      <c r="C71" s="110" t="s">
        <v>205</v>
      </c>
      <c r="E71" s="155">
        <v>40367.980000000003</v>
      </c>
      <c r="F71" s="155">
        <v>36631.599999999999</v>
      </c>
      <c r="G71" s="111">
        <f t="shared" si="9"/>
        <v>3736.3800000000047</v>
      </c>
    </row>
    <row r="72" spans="2:7" ht="15" customHeight="1" x14ac:dyDescent="0.25">
      <c r="B72" s="102" t="s">
        <v>196</v>
      </c>
      <c r="C72" s="110"/>
      <c r="E72" s="111"/>
      <c r="F72" s="111"/>
      <c r="G72" s="111"/>
    </row>
    <row r="73" spans="2:7" ht="15" customHeight="1" x14ac:dyDescent="0.25">
      <c r="C73" s="110" t="s">
        <v>161</v>
      </c>
      <c r="E73" s="111">
        <v>109227.84</v>
      </c>
      <c r="F73" s="111">
        <v>119519.31</v>
      </c>
      <c r="G73" s="111">
        <f t="shared" si="9"/>
        <v>-10291.470000000001</v>
      </c>
    </row>
    <row r="74" spans="2:7" ht="15" customHeight="1" x14ac:dyDescent="0.25">
      <c r="B74" s="102" t="s">
        <v>162</v>
      </c>
      <c r="G74" s="111"/>
    </row>
    <row r="75" spans="2:7" ht="15" customHeight="1" x14ac:dyDescent="0.25">
      <c r="B75" s="102"/>
      <c r="C75" s="121" t="s">
        <v>279</v>
      </c>
      <c r="E75" s="111">
        <v>12967</v>
      </c>
      <c r="F75" s="111">
        <v>0</v>
      </c>
      <c r="G75" s="111">
        <f t="shared" si="9"/>
        <v>12967</v>
      </c>
    </row>
    <row r="76" spans="2:7" ht="15" customHeight="1" x14ac:dyDescent="0.25">
      <c r="C76" s="110" t="s">
        <v>163</v>
      </c>
      <c r="E76" s="111">
        <v>410141.55</v>
      </c>
      <c r="F76" s="111">
        <v>446660.99</v>
      </c>
      <c r="G76" s="111">
        <f t="shared" si="9"/>
        <v>-36519.440000000002</v>
      </c>
    </row>
    <row r="77" spans="2:7" ht="15" customHeight="1" x14ac:dyDescent="0.25">
      <c r="C77" s="110" t="s">
        <v>258</v>
      </c>
      <c r="E77" s="111">
        <v>114297.48</v>
      </c>
      <c r="F77" s="111">
        <v>0</v>
      </c>
      <c r="G77" s="111">
        <f t="shared" si="9"/>
        <v>114297.48</v>
      </c>
    </row>
    <row r="78" spans="2:7" ht="15" customHeight="1" x14ac:dyDescent="0.25">
      <c r="B78" s="102" t="s">
        <v>164</v>
      </c>
      <c r="G78" s="111"/>
    </row>
    <row r="79" spans="2:7" ht="15" customHeight="1" x14ac:dyDescent="0.25">
      <c r="C79" s="110" t="s">
        <v>165</v>
      </c>
      <c r="E79" s="111">
        <v>67228.67</v>
      </c>
      <c r="F79" s="111">
        <v>150911.22200000001</v>
      </c>
      <c r="G79" s="111">
        <f t="shared" si="9"/>
        <v>-83682.552000000011</v>
      </c>
    </row>
    <row r="80" spans="2:7" ht="15" customHeight="1" x14ac:dyDescent="0.25">
      <c r="C80" s="110" t="s">
        <v>166</v>
      </c>
      <c r="E80" s="111">
        <v>490567.39</v>
      </c>
      <c r="F80" s="111">
        <v>445643.49</v>
      </c>
      <c r="G80" s="111">
        <f t="shared" si="9"/>
        <v>44923.900000000023</v>
      </c>
    </row>
    <row r="81" spans="2:7" ht="15" customHeight="1" x14ac:dyDescent="0.25">
      <c r="B81" s="102" t="s">
        <v>167</v>
      </c>
      <c r="G81" s="111"/>
    </row>
    <row r="82" spans="2:7" ht="15" customHeight="1" x14ac:dyDescent="0.25">
      <c r="B82" s="102"/>
      <c r="C82" s="110" t="s">
        <v>266</v>
      </c>
      <c r="E82" s="111">
        <v>93441.96</v>
      </c>
      <c r="F82" s="111">
        <v>122041</v>
      </c>
      <c r="G82" s="111">
        <f t="shared" si="9"/>
        <v>-28599.039999999994</v>
      </c>
    </row>
    <row r="83" spans="2:7" ht="15" customHeight="1" x14ac:dyDescent="0.25">
      <c r="C83" s="110" t="s">
        <v>265</v>
      </c>
      <c r="E83" s="111">
        <f>110+2600</f>
        <v>2710</v>
      </c>
      <c r="F83" s="111">
        <v>0</v>
      </c>
      <c r="G83" s="111">
        <f t="shared" si="9"/>
        <v>2710</v>
      </c>
    </row>
    <row r="84" spans="2:7" ht="15" customHeight="1" x14ac:dyDescent="0.25">
      <c r="C84" s="110" t="s">
        <v>168</v>
      </c>
      <c r="E84" s="111">
        <v>82316</v>
      </c>
      <c r="F84" s="111">
        <v>91080.6</v>
      </c>
      <c r="G84" s="111">
        <f t="shared" si="9"/>
        <v>-8764.6000000000058</v>
      </c>
    </row>
    <row r="85" spans="2:7" ht="15" customHeight="1" x14ac:dyDescent="0.25">
      <c r="C85" s="110" t="s">
        <v>197</v>
      </c>
      <c r="E85" s="111">
        <v>5570</v>
      </c>
      <c r="F85" s="111">
        <v>31690</v>
      </c>
      <c r="G85" s="111">
        <f t="shared" si="9"/>
        <v>-26120</v>
      </c>
    </row>
    <row r="86" spans="2:7" ht="15" customHeight="1" x14ac:dyDescent="0.25">
      <c r="B86" s="102" t="s">
        <v>169</v>
      </c>
      <c r="E86" s="129"/>
      <c r="F86" s="129"/>
      <c r="G86" s="111"/>
    </row>
    <row r="87" spans="2:7" ht="15" customHeight="1" x14ac:dyDescent="0.25">
      <c r="C87" s="110" t="s">
        <v>170</v>
      </c>
      <c r="E87" s="111">
        <v>26775.88</v>
      </c>
      <c r="F87" s="111">
        <v>49578</v>
      </c>
      <c r="G87" s="111">
        <f t="shared" si="9"/>
        <v>-22802.12</v>
      </c>
    </row>
    <row r="88" spans="2:7" ht="15" customHeight="1" x14ac:dyDescent="0.25">
      <c r="C88" s="110" t="s">
        <v>280</v>
      </c>
      <c r="E88" s="111">
        <f>71625</f>
        <v>71625</v>
      </c>
      <c r="F88" s="111">
        <v>81375</v>
      </c>
      <c r="G88" s="111">
        <f t="shared" si="9"/>
        <v>-9750</v>
      </c>
    </row>
    <row r="89" spans="2:7" ht="15" customHeight="1" x14ac:dyDescent="0.25">
      <c r="C89" s="110" t="s">
        <v>171</v>
      </c>
      <c r="E89" s="111">
        <v>121611.9</v>
      </c>
      <c r="F89" s="111">
        <v>29068.400000000001</v>
      </c>
      <c r="G89" s="111">
        <f t="shared" si="9"/>
        <v>92543.5</v>
      </c>
    </row>
    <row r="90" spans="2:7" ht="15" customHeight="1" x14ac:dyDescent="0.25">
      <c r="B90" s="102" t="s">
        <v>172</v>
      </c>
      <c r="G90" s="111"/>
    </row>
    <row r="91" spans="2:7" ht="15" customHeight="1" x14ac:dyDescent="0.25">
      <c r="C91" s="110" t="s">
        <v>173</v>
      </c>
      <c r="E91" s="111">
        <v>141526</v>
      </c>
      <c r="F91" s="111">
        <v>397821.08</v>
      </c>
      <c r="G91" s="111">
        <f t="shared" si="9"/>
        <v>-256295.08000000002</v>
      </c>
    </row>
    <row r="92" spans="2:7" ht="15" customHeight="1" x14ac:dyDescent="0.25">
      <c r="C92" s="110" t="s">
        <v>281</v>
      </c>
      <c r="E92" s="111">
        <v>5042</v>
      </c>
      <c r="F92" s="111">
        <v>0</v>
      </c>
      <c r="G92" s="111">
        <f t="shared" si="9"/>
        <v>5042</v>
      </c>
    </row>
    <row r="93" spans="2:7" ht="15" customHeight="1" x14ac:dyDescent="0.25">
      <c r="C93" s="110" t="s">
        <v>174</v>
      </c>
      <c r="E93" s="111">
        <f>110362.35+387708.66</f>
        <v>498071.01</v>
      </c>
      <c r="F93" s="111">
        <v>777685.39</v>
      </c>
      <c r="G93" s="111">
        <f t="shared" si="9"/>
        <v>-279614.38</v>
      </c>
    </row>
    <row r="94" spans="2:7" ht="15" customHeight="1" x14ac:dyDescent="0.25">
      <c r="C94" s="110" t="s">
        <v>283</v>
      </c>
      <c r="E94" s="111">
        <v>500</v>
      </c>
      <c r="F94" s="111">
        <v>0</v>
      </c>
      <c r="G94" s="111">
        <f t="shared" si="9"/>
        <v>500</v>
      </c>
    </row>
    <row r="95" spans="2:7" ht="15" customHeight="1" x14ac:dyDescent="0.25">
      <c r="C95" s="110" t="s">
        <v>175</v>
      </c>
      <c r="E95" s="111">
        <v>8993</v>
      </c>
      <c r="F95" s="111">
        <v>10741</v>
      </c>
      <c r="G95" s="111">
        <f t="shared" si="9"/>
        <v>-1748</v>
      </c>
    </row>
    <row r="96" spans="2:7" ht="15" customHeight="1" x14ac:dyDescent="0.25">
      <c r="C96" s="110" t="s">
        <v>282</v>
      </c>
      <c r="E96" s="111">
        <v>1200</v>
      </c>
      <c r="F96" s="111">
        <v>0</v>
      </c>
      <c r="G96" s="111">
        <f t="shared" si="9"/>
        <v>1200</v>
      </c>
    </row>
    <row r="97" spans="1:7" ht="15" customHeight="1" x14ac:dyDescent="0.25">
      <c r="C97" s="110" t="s">
        <v>172</v>
      </c>
      <c r="E97" s="111">
        <f>6630.5+10752+671829.5+462557.18</f>
        <v>1151769.18</v>
      </c>
      <c r="F97" s="111">
        <v>817650.38</v>
      </c>
      <c r="G97" s="111">
        <f t="shared" si="9"/>
        <v>334118.79999999993</v>
      </c>
    </row>
    <row r="98" spans="1:7" ht="15" customHeight="1" x14ac:dyDescent="0.25">
      <c r="A98" s="123"/>
      <c r="B98" s="123"/>
      <c r="C98" s="123"/>
      <c r="D98" s="124"/>
      <c r="E98" s="123"/>
      <c r="F98" s="123"/>
      <c r="G98" s="123"/>
    </row>
    <row r="99" spans="1:7" ht="15" customHeight="1" x14ac:dyDescent="0.25">
      <c r="A99" s="102" t="s">
        <v>176</v>
      </c>
      <c r="E99" s="125">
        <f>SUM(E54:E97)</f>
        <v>6684979.7599999988</v>
      </c>
      <c r="F99" s="125">
        <f>SUM(F54:F97)</f>
        <v>6715489.3320000004</v>
      </c>
      <c r="G99" s="125">
        <f>SUM(G54:G97)</f>
        <v>-30509.57200000016</v>
      </c>
    </row>
    <row r="100" spans="1:7" ht="15" customHeight="1" x14ac:dyDescent="0.25">
      <c r="A100" s="123"/>
      <c r="B100" s="123"/>
      <c r="C100" s="123"/>
      <c r="D100" s="124"/>
      <c r="E100" s="229"/>
      <c r="F100" s="229"/>
      <c r="G100" s="123"/>
    </row>
    <row r="101" spans="1:7" ht="15" customHeight="1" x14ac:dyDescent="0.25">
      <c r="A101" s="102" t="s">
        <v>33</v>
      </c>
      <c r="D101" s="121"/>
      <c r="E101" s="153"/>
    </row>
    <row r="102" spans="1:7" ht="15" customHeight="1" x14ac:dyDescent="0.25">
      <c r="B102" s="154" t="s">
        <v>177</v>
      </c>
      <c r="D102" s="104">
        <v>22</v>
      </c>
      <c r="E102" s="111"/>
      <c r="F102" s="111"/>
      <c r="G102" s="111"/>
    </row>
    <row r="103" spans="1:7" ht="15" customHeight="1" x14ac:dyDescent="0.25">
      <c r="B103" s="110"/>
      <c r="C103" s="121" t="s">
        <v>199</v>
      </c>
      <c r="E103" s="111">
        <v>234660.06</v>
      </c>
      <c r="F103" s="111">
        <v>234660.06</v>
      </c>
      <c r="G103" s="111">
        <f>E103-F103</f>
        <v>0</v>
      </c>
    </row>
    <row r="104" spans="1:7" ht="15" customHeight="1" x14ac:dyDescent="0.25">
      <c r="B104" s="110"/>
      <c r="C104" s="121" t="s">
        <v>200</v>
      </c>
      <c r="E104" s="111">
        <f>75146.28+136474.68</f>
        <v>211620.96</v>
      </c>
      <c r="F104" s="111">
        <v>214111.42</v>
      </c>
      <c r="G104" s="111">
        <f t="shared" ref="G104:G106" si="10">E104-F104</f>
        <v>-2490.460000000021</v>
      </c>
    </row>
    <row r="105" spans="1:7" ht="15" customHeight="1" x14ac:dyDescent="0.25">
      <c r="B105" s="110"/>
      <c r="C105" s="121" t="s">
        <v>201</v>
      </c>
      <c r="E105" s="111">
        <v>239678.52</v>
      </c>
      <c r="F105" s="111">
        <v>277114.44</v>
      </c>
      <c r="G105" s="111">
        <f t="shared" si="10"/>
        <v>-37435.920000000013</v>
      </c>
    </row>
    <row r="106" spans="1:7" ht="15" customHeight="1" x14ac:dyDescent="0.25">
      <c r="A106" s="131"/>
      <c r="B106" s="216"/>
      <c r="C106" s="131" t="s">
        <v>202</v>
      </c>
      <c r="D106" s="132"/>
      <c r="E106" s="133">
        <v>3848.94</v>
      </c>
      <c r="F106" s="133">
        <v>5045.7</v>
      </c>
      <c r="G106" s="133">
        <f t="shared" si="10"/>
        <v>-1196.7599999999998</v>
      </c>
    </row>
    <row r="107" spans="1:7" ht="15" customHeight="1" x14ac:dyDescent="0.3">
      <c r="A107" s="102" t="s">
        <v>236</v>
      </c>
      <c r="B107" s="154"/>
      <c r="C107" s="150"/>
      <c r="D107" s="106"/>
      <c r="E107" s="151">
        <f>SUM(E103:E106)</f>
        <v>689808.48</v>
      </c>
      <c r="F107" s="151">
        <f t="shared" ref="F107:G107" si="11">SUM(F103:F106)</f>
        <v>730931.61999999988</v>
      </c>
      <c r="G107" s="151">
        <f t="shared" si="11"/>
        <v>-41123.140000000036</v>
      </c>
    </row>
    <row r="108" spans="1:7" ht="15" customHeight="1" x14ac:dyDescent="0.25">
      <c r="A108" s="123"/>
      <c r="B108" s="123"/>
      <c r="C108" s="123"/>
      <c r="D108" s="124"/>
      <c r="E108" s="123"/>
      <c r="F108" s="123"/>
      <c r="G108" s="123"/>
    </row>
    <row r="109" spans="1:7" ht="15" customHeight="1" x14ac:dyDescent="0.25">
      <c r="A109" s="102" t="s">
        <v>69</v>
      </c>
      <c r="E109" s="125">
        <f>E107+E99+E50</f>
        <v>40850400.120000005</v>
      </c>
      <c r="F109" s="125">
        <f>F107+F99+F50</f>
        <v>36305679.782000005</v>
      </c>
      <c r="G109" s="125">
        <f>G107+G99+G50</f>
        <v>4544720.3380000005</v>
      </c>
    </row>
    <row r="110" spans="1:7" ht="15" customHeight="1" x14ac:dyDescent="0.25">
      <c r="A110" s="123"/>
      <c r="B110" s="123"/>
      <c r="C110" s="123"/>
      <c r="D110" s="124"/>
      <c r="E110" s="123"/>
      <c r="F110" s="123"/>
      <c r="G110" s="123"/>
    </row>
    <row r="111" spans="1:7" ht="15" customHeight="1" x14ac:dyDescent="0.25">
      <c r="A111" s="102" t="s">
        <v>178</v>
      </c>
      <c r="E111" s="125">
        <f>E19-E109</f>
        <v>7036404.3900000006</v>
      </c>
      <c r="F111" s="125">
        <f>F19-F109</f>
        <v>9915161.9179999977</v>
      </c>
      <c r="G111" s="125">
        <f>G19-G109</f>
        <v>-2878757.5280000027</v>
      </c>
    </row>
    <row r="112" spans="1:7" ht="15" customHeight="1" x14ac:dyDescent="0.25">
      <c r="A112" s="102"/>
      <c r="E112" s="125"/>
      <c r="F112" s="125"/>
      <c r="G112" s="125"/>
    </row>
    <row r="113" spans="1:7" ht="15" customHeight="1" x14ac:dyDescent="0.25">
      <c r="A113" s="130" t="s">
        <v>68</v>
      </c>
      <c r="B113" s="131"/>
      <c r="C113" s="131"/>
      <c r="D113" s="132"/>
      <c r="E113" s="133">
        <v>1733775.01</v>
      </c>
      <c r="F113" s="133">
        <v>2452032.9500000002</v>
      </c>
      <c r="G113" s="133">
        <f>E113-F113</f>
        <v>-718257.94000000018</v>
      </c>
    </row>
    <row r="114" spans="1:7" ht="15" customHeight="1" x14ac:dyDescent="0.25">
      <c r="A114" s="102"/>
      <c r="E114" s="125"/>
      <c r="F114" s="125"/>
      <c r="G114" s="125"/>
    </row>
    <row r="115" spans="1:7" ht="15" customHeight="1" thickBot="1" x14ac:dyDescent="0.3">
      <c r="A115" s="102" t="s">
        <v>179</v>
      </c>
      <c r="E115" s="125">
        <f>E111-E113</f>
        <v>5302629.3800000008</v>
      </c>
      <c r="F115" s="125">
        <f t="shared" ref="F115:G115" si="12">F111-F113</f>
        <v>7463128.9679999975</v>
      </c>
      <c r="G115" s="125">
        <f t="shared" si="12"/>
        <v>-2160499.5880000023</v>
      </c>
    </row>
    <row r="116" spans="1:7" ht="15" customHeight="1" thickTop="1" x14ac:dyDescent="0.25">
      <c r="A116" s="122"/>
      <c r="B116" s="122"/>
      <c r="C116" s="122"/>
      <c r="D116" s="109"/>
      <c r="E116" s="134">
        <f>E115-SCI!E21</f>
        <v>-7.4505805969238281E-9</v>
      </c>
      <c r="F116" s="134">
        <f>F115-SCI!F21</f>
        <v>-7.4505805969238281E-9</v>
      </c>
      <c r="G116" s="134">
        <f>E115-F115-G115</f>
        <v>5.5879354476928711E-9</v>
      </c>
    </row>
    <row r="117" spans="1:7" ht="15" customHeight="1" x14ac:dyDescent="0.3">
      <c r="A117" s="118" t="s">
        <v>132</v>
      </c>
      <c r="E117" s="153"/>
      <c r="F117" s="153"/>
      <c r="G117" s="245"/>
    </row>
    <row r="118" spans="1:7" ht="15" customHeight="1" x14ac:dyDescent="0.25">
      <c r="E118" s="153"/>
      <c r="F118" s="153"/>
    </row>
    <row r="119" spans="1:7" s="103" customFormat="1" ht="15" customHeight="1" x14ac:dyDescent="0.25">
      <c r="E119" s="104"/>
      <c r="F119" s="232"/>
    </row>
    <row r="120" spans="1:7" s="103" customFormat="1" ht="15" customHeight="1" x14ac:dyDescent="0.25">
      <c r="E120" s="104"/>
      <c r="F120" s="104"/>
    </row>
    <row r="121" spans="1:7" s="103" customFormat="1" ht="15" customHeight="1" x14ac:dyDescent="0.25">
      <c r="E121" s="104"/>
      <c r="F121" s="104"/>
    </row>
    <row r="122" spans="1:7" s="103" customFormat="1" ht="15" customHeight="1" x14ac:dyDescent="0.3">
      <c r="A122" s="119"/>
      <c r="E122" s="104"/>
      <c r="F122" s="104"/>
    </row>
    <row r="123" spans="1:7" s="103" customFormat="1" ht="15" customHeight="1" x14ac:dyDescent="0.3">
      <c r="A123" s="120"/>
      <c r="E123" s="104"/>
      <c r="F123" s="104"/>
    </row>
  </sheetData>
  <printOptions horizontalCentered="1"/>
  <pageMargins left="0.2" right="0.2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zoomScale="120" zoomScaleNormal="12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E34" sqref="E34"/>
    </sheetView>
  </sheetViews>
  <sheetFormatPr defaultRowHeight="15" customHeight="1" x14ac:dyDescent="0.25"/>
  <cols>
    <col min="1" max="2" width="3.33203125" style="68" customWidth="1"/>
    <col min="3" max="3" width="49.5546875" style="68" customWidth="1"/>
    <col min="4" max="4" width="11.21875" style="8" customWidth="1"/>
    <col min="5" max="6" width="18.77734375" style="68" customWidth="1"/>
    <col min="7" max="7" width="17.77734375" style="68" customWidth="1"/>
    <col min="8" max="16384" width="8.88671875" style="68"/>
  </cols>
  <sheetData>
    <row r="1" spans="1:7" ht="15" customHeight="1" x14ac:dyDescent="0.3">
      <c r="A1" s="252" t="s">
        <v>0</v>
      </c>
      <c r="B1" s="253"/>
      <c r="C1" s="253"/>
      <c r="F1" s="244"/>
    </row>
    <row r="2" spans="1:7" ht="15" customHeight="1" x14ac:dyDescent="0.25">
      <c r="A2" s="254" t="s">
        <v>1</v>
      </c>
      <c r="B2" s="253"/>
      <c r="C2" s="253"/>
    </row>
    <row r="3" spans="1:7" ht="15" customHeight="1" x14ac:dyDescent="0.25">
      <c r="A3" s="252" t="s">
        <v>34</v>
      </c>
      <c r="B3" s="253"/>
      <c r="C3" s="253"/>
    </row>
    <row r="4" spans="1:7" ht="15" customHeight="1" x14ac:dyDescent="0.25">
      <c r="A4" s="252" t="str">
        <f>'Detailed SCI'!A4</f>
        <v>As of June 30, 2024</v>
      </c>
      <c r="B4" s="253"/>
      <c r="C4" s="253"/>
    </row>
    <row r="5" spans="1:7" ht="15" customHeight="1" x14ac:dyDescent="0.25">
      <c r="A5" s="253"/>
      <c r="B5" s="253"/>
      <c r="C5" s="253"/>
    </row>
    <row r="6" spans="1:7" ht="15" customHeight="1" thickBot="1" x14ac:dyDescent="0.3">
      <c r="A6" s="253"/>
      <c r="B6" s="253"/>
      <c r="C6" s="253"/>
      <c r="D6" s="69" t="s">
        <v>64</v>
      </c>
      <c r="E6" s="70">
        <f>'Detailed SCI'!E6</f>
        <v>2024</v>
      </c>
      <c r="F6" s="70">
        <f>'Detailed SCI'!F6</f>
        <v>2023</v>
      </c>
      <c r="G6" s="70" t="s">
        <v>3</v>
      </c>
    </row>
    <row r="7" spans="1:7" ht="15" customHeight="1" thickTop="1" x14ac:dyDescent="0.25">
      <c r="A7" s="255"/>
      <c r="B7" s="255"/>
      <c r="C7" s="255"/>
      <c r="D7" s="71"/>
      <c r="E7" s="72"/>
      <c r="F7" s="72"/>
      <c r="G7" s="72"/>
    </row>
    <row r="8" spans="1:7" ht="15" customHeight="1" x14ac:dyDescent="0.25">
      <c r="A8" s="73" t="s">
        <v>25</v>
      </c>
      <c r="B8" s="4"/>
      <c r="C8" s="4"/>
      <c r="E8" s="4"/>
      <c r="F8" s="4"/>
      <c r="G8" s="4"/>
    </row>
    <row r="9" spans="1:7" ht="15" customHeight="1" x14ac:dyDescent="0.25">
      <c r="A9" s="73" t="s">
        <v>35</v>
      </c>
      <c r="B9" s="4"/>
      <c r="C9" s="4"/>
      <c r="E9" s="4"/>
      <c r="F9" s="4"/>
      <c r="G9" s="4"/>
    </row>
    <row r="10" spans="1:7" ht="15" customHeight="1" x14ac:dyDescent="0.25">
      <c r="B10" s="256" t="s">
        <v>44</v>
      </c>
      <c r="C10" s="253"/>
      <c r="E10" s="74">
        <v>68143720.230000004</v>
      </c>
      <c r="F10" s="74">
        <v>68143720.230000004</v>
      </c>
      <c r="G10" s="74">
        <f>E10-F10</f>
        <v>0</v>
      </c>
    </row>
    <row r="11" spans="1:7" ht="15" customHeight="1" x14ac:dyDescent="0.25">
      <c r="B11" s="256" t="s">
        <v>45</v>
      </c>
      <c r="C11" s="253"/>
      <c r="E11" s="74"/>
      <c r="F11" s="74"/>
      <c r="G11" s="74">
        <f>E11-F11</f>
        <v>0</v>
      </c>
    </row>
    <row r="12" spans="1:7" ht="15" customHeight="1" x14ac:dyDescent="0.25">
      <c r="A12" s="251"/>
      <c r="B12" s="251"/>
      <c r="C12" s="251"/>
      <c r="D12" s="75"/>
      <c r="E12" s="76"/>
      <c r="F12" s="76"/>
      <c r="G12" s="76"/>
    </row>
    <row r="13" spans="1:7" ht="15" customHeight="1" x14ac:dyDescent="0.25">
      <c r="A13" s="252" t="s">
        <v>36</v>
      </c>
      <c r="B13" s="253"/>
      <c r="C13" s="253"/>
      <c r="E13" s="77">
        <f>SUM(E10:E11)</f>
        <v>68143720.230000004</v>
      </c>
      <c r="F13" s="77">
        <f>SUM(F10:F11)</f>
        <v>68143720.230000004</v>
      </c>
      <c r="G13" s="77">
        <f>SUM(G10:G11)</f>
        <v>0</v>
      </c>
    </row>
    <row r="14" spans="1:7" ht="15" customHeight="1" x14ac:dyDescent="0.25">
      <c r="A14" s="251"/>
      <c r="B14" s="251"/>
      <c r="C14" s="251"/>
      <c r="D14" s="75"/>
      <c r="E14" s="76"/>
      <c r="F14" s="76"/>
      <c r="G14" s="76"/>
    </row>
    <row r="15" spans="1:7" ht="15" customHeight="1" x14ac:dyDescent="0.25">
      <c r="A15" s="73" t="s">
        <v>37</v>
      </c>
      <c r="B15" s="4"/>
      <c r="C15" s="4"/>
      <c r="E15" s="4"/>
      <c r="F15" s="4"/>
      <c r="G15" s="4"/>
    </row>
    <row r="16" spans="1:7" ht="15" customHeight="1" x14ac:dyDescent="0.25">
      <c r="A16" s="252" t="s">
        <v>35</v>
      </c>
      <c r="B16" s="252"/>
      <c r="C16" s="252"/>
      <c r="E16" s="78">
        <v>15000000</v>
      </c>
      <c r="F16" s="78">
        <v>15000000</v>
      </c>
      <c r="G16" s="74">
        <f>E16-F16</f>
        <v>0</v>
      </c>
    </row>
    <row r="17" spans="1:7" ht="15" customHeight="1" x14ac:dyDescent="0.25">
      <c r="B17" s="79" t="s">
        <v>38</v>
      </c>
      <c r="C17" s="79"/>
      <c r="E17" s="78">
        <v>0</v>
      </c>
      <c r="F17" s="78">
        <v>0</v>
      </c>
      <c r="G17" s="74">
        <f>E17-F17</f>
        <v>0</v>
      </c>
    </row>
    <row r="18" spans="1:7" ht="15" customHeight="1" x14ac:dyDescent="0.25">
      <c r="A18" s="80"/>
      <c r="B18" s="81" t="s">
        <v>39</v>
      </c>
      <c r="C18" s="81"/>
      <c r="D18" s="82"/>
      <c r="E18" s="83">
        <v>0</v>
      </c>
      <c r="F18" s="83">
        <v>0</v>
      </c>
      <c r="G18" s="84">
        <f>E18-F18</f>
        <v>0</v>
      </c>
    </row>
    <row r="19" spans="1:7" ht="15" customHeight="1" x14ac:dyDescent="0.25">
      <c r="B19" s="79"/>
      <c r="C19" s="79"/>
      <c r="E19" s="74"/>
      <c r="F19" s="74"/>
      <c r="G19" s="74"/>
    </row>
    <row r="20" spans="1:7" ht="15" customHeight="1" x14ac:dyDescent="0.3">
      <c r="A20" s="257" t="s">
        <v>36</v>
      </c>
      <c r="B20" s="257"/>
      <c r="C20" s="257"/>
      <c r="D20" s="82"/>
      <c r="E20" s="86">
        <f>SUM(E16:E19)</f>
        <v>15000000</v>
      </c>
      <c r="F20" s="86">
        <f>SUM(F16:F19)</f>
        <v>15000000</v>
      </c>
      <c r="G20" s="87">
        <f>E20-F20</f>
        <v>0</v>
      </c>
    </row>
    <row r="21" spans="1:7" ht="15" customHeight="1" x14ac:dyDescent="0.25">
      <c r="B21" s="256"/>
      <c r="C21" s="256"/>
      <c r="E21" s="74"/>
      <c r="F21" s="74"/>
      <c r="G21" s="74"/>
    </row>
    <row r="22" spans="1:7" ht="15" customHeight="1" x14ac:dyDescent="0.25">
      <c r="A22" s="73" t="s">
        <v>40</v>
      </c>
      <c r="B22" s="4"/>
      <c r="C22" s="4"/>
      <c r="E22" s="4"/>
      <c r="F22" s="4"/>
      <c r="G22" s="4"/>
    </row>
    <row r="23" spans="1:7" ht="15" customHeight="1" x14ac:dyDescent="0.25">
      <c r="A23" s="252" t="s">
        <v>35</v>
      </c>
      <c r="B23" s="252"/>
      <c r="C23" s="252"/>
      <c r="E23" s="78">
        <v>30444287.350000001</v>
      </c>
      <c r="F23" s="78">
        <v>17976225.57</v>
      </c>
      <c r="G23" s="74">
        <f>E23-F23</f>
        <v>12468061.780000001</v>
      </c>
    </row>
    <row r="24" spans="1:7" ht="15" customHeight="1" x14ac:dyDescent="0.25">
      <c r="A24" s="88"/>
      <c r="B24" s="79" t="s">
        <v>41</v>
      </c>
      <c r="C24" s="88"/>
      <c r="E24" s="78">
        <f>-6000+131120.28+1634.91-19115.39+51948.65+187816.69+125558.99-21886.07</f>
        <v>451078.06</v>
      </c>
      <c r="F24" s="78">
        <v>1012431.11</v>
      </c>
      <c r="G24" s="74">
        <f t="shared" ref="G24:G27" si="0">E24-F24</f>
        <v>-561353.05000000005</v>
      </c>
    </row>
    <row r="25" spans="1:7" ht="15" customHeight="1" x14ac:dyDescent="0.25">
      <c r="A25" s="88"/>
      <c r="B25" s="79" t="s">
        <v>46</v>
      </c>
      <c r="C25" s="88"/>
      <c r="E25" s="78">
        <f>E23+E24</f>
        <v>30895365.41</v>
      </c>
      <c r="F25" s="78">
        <f>F23+F24</f>
        <v>18988656.68</v>
      </c>
      <c r="G25" s="74">
        <f t="shared" si="0"/>
        <v>11906708.73</v>
      </c>
    </row>
    <row r="26" spans="1:7" ht="15" customHeight="1" x14ac:dyDescent="0.25">
      <c r="A26" s="88"/>
      <c r="B26" s="79" t="s">
        <v>67</v>
      </c>
      <c r="C26" s="88"/>
      <c r="D26" s="8">
        <v>23</v>
      </c>
      <c r="E26" s="78">
        <v>-10487537.25</v>
      </c>
      <c r="F26" s="78">
        <v>-3806154.16</v>
      </c>
      <c r="G26" s="74">
        <f t="shared" si="0"/>
        <v>-6681383.0899999999</v>
      </c>
    </row>
    <row r="27" spans="1:7" ht="15" customHeight="1" x14ac:dyDescent="0.25">
      <c r="A27" s="80"/>
      <c r="B27" s="81" t="s">
        <v>42</v>
      </c>
      <c r="C27" s="81"/>
      <c r="D27" s="82"/>
      <c r="E27" s="83">
        <f>'Detailed SCI'!E115</f>
        <v>5302629.3800000008</v>
      </c>
      <c r="F27" s="83">
        <f>'Detailed SCI'!F115</f>
        <v>7463128.9679999975</v>
      </c>
      <c r="G27" s="84">
        <f t="shared" si="0"/>
        <v>-2160499.5879999967</v>
      </c>
    </row>
    <row r="28" spans="1:7" ht="15" customHeight="1" x14ac:dyDescent="0.25">
      <c r="B28" s="79"/>
      <c r="C28" s="79"/>
      <c r="E28" s="74"/>
      <c r="F28" s="74"/>
      <c r="G28" s="74"/>
    </row>
    <row r="29" spans="1:7" ht="15" customHeight="1" x14ac:dyDescent="0.3">
      <c r="A29" s="257" t="s">
        <v>36</v>
      </c>
      <c r="B29" s="257"/>
      <c r="C29" s="257"/>
      <c r="D29" s="82"/>
      <c r="E29" s="86">
        <f>SUM(E25:E27)</f>
        <v>25710457.539999999</v>
      </c>
      <c r="F29" s="86">
        <f>SUM(F25:F27)</f>
        <v>22645631.487999998</v>
      </c>
      <c r="G29" s="86">
        <f>G25+G26+G27</f>
        <v>3064826.0520000039</v>
      </c>
    </row>
    <row r="31" spans="1:7" ht="15" customHeight="1" thickBot="1" x14ac:dyDescent="0.35">
      <c r="A31" s="90" t="s">
        <v>43</v>
      </c>
      <c r="B31" s="91"/>
      <c r="C31" s="91"/>
      <c r="D31" s="92"/>
      <c r="E31" s="93">
        <f>E29+E20+E13</f>
        <v>108854177.77000001</v>
      </c>
      <c r="F31" s="93">
        <f>F29+F20+F13</f>
        <v>105789351.71799999</v>
      </c>
      <c r="G31" s="93">
        <f t="shared" ref="G31" si="1">G29+G20+G13</f>
        <v>3064826.0520000039</v>
      </c>
    </row>
    <row r="32" spans="1:7" ht="11.4" customHeight="1" thickTop="1" x14ac:dyDescent="0.25">
      <c r="E32" s="94">
        <f>E31-'Detailed SFP'!F166</f>
        <v>0</v>
      </c>
      <c r="F32" s="94">
        <f>F31-SFP!G49</f>
        <v>-2.0000040531158447E-3</v>
      </c>
      <c r="G32" s="94">
        <f>E31-F31-G31</f>
        <v>1.2107193470001221E-8</v>
      </c>
    </row>
    <row r="33" spans="1:7" s="4" customFormat="1" ht="15" customHeight="1" x14ac:dyDescent="0.3">
      <c r="A33" s="95" t="s">
        <v>60</v>
      </c>
      <c r="E33" s="96"/>
      <c r="F33" s="67"/>
      <c r="G33" s="22"/>
    </row>
    <row r="34" spans="1:7" s="4" customFormat="1" ht="15" customHeight="1" x14ac:dyDescent="0.25">
      <c r="E34" s="97"/>
      <c r="F34" s="22"/>
    </row>
    <row r="35" spans="1:7" s="98" customFormat="1" ht="15" customHeight="1" x14ac:dyDescent="0.25">
      <c r="E35" s="99"/>
    </row>
    <row r="36" spans="1:7" s="98" customFormat="1" ht="15" customHeight="1" x14ac:dyDescent="0.25">
      <c r="E36" s="99"/>
    </row>
    <row r="37" spans="1:7" s="98" customFormat="1" ht="15" customHeight="1" x14ac:dyDescent="0.25">
      <c r="E37" s="99"/>
    </row>
    <row r="38" spans="1:7" s="98" customFormat="1" ht="15" customHeight="1" x14ac:dyDescent="0.3">
      <c r="A38" s="100"/>
      <c r="E38" s="99"/>
    </row>
    <row r="39" spans="1:7" s="98" customFormat="1" ht="15" customHeight="1" x14ac:dyDescent="0.3">
      <c r="A39" s="101"/>
      <c r="E39" s="99"/>
    </row>
  </sheetData>
  <mergeCells count="17">
    <mergeCell ref="A16:C16"/>
    <mergeCell ref="A20:C20"/>
    <mergeCell ref="B21:C21"/>
    <mergeCell ref="A23:C23"/>
    <mergeCell ref="A29:C29"/>
    <mergeCell ref="A14:C14"/>
    <mergeCell ref="A1:C1"/>
    <mergeCell ref="A2:C2"/>
    <mergeCell ref="A3:C3"/>
    <mergeCell ref="A4:C4"/>
    <mergeCell ref="A5:C5"/>
    <mergeCell ref="A6:C6"/>
    <mergeCell ref="A7:C7"/>
    <mergeCell ref="B10:C10"/>
    <mergeCell ref="B11:C11"/>
    <mergeCell ref="A12:C12"/>
    <mergeCell ref="A13:C1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7"/>
  <sheetViews>
    <sheetView zoomScale="120" zoomScaleNormal="120" workbookViewId="0">
      <pane xSplit="3" ySplit="6" topLeftCell="D44" activePane="bottomRight" state="frozen"/>
      <selection pane="topRight" activeCell="D1" sqref="D1"/>
      <selection pane="bottomLeft" activeCell="A7" sqref="A7"/>
      <selection pane="bottomRight" activeCell="D44" sqref="D44"/>
    </sheetView>
  </sheetViews>
  <sheetFormatPr defaultColWidth="18.109375" defaultRowHeight="15" customHeight="1" x14ac:dyDescent="0.25"/>
  <cols>
    <col min="1" max="1" width="4.77734375" style="68" customWidth="1"/>
    <col min="2" max="2" width="18.109375" style="68"/>
    <col min="3" max="3" width="40.88671875" style="68" customWidth="1"/>
    <col min="4" max="4" width="18.109375" style="68" customWidth="1"/>
    <col min="5" max="5" width="18.77734375" style="68" customWidth="1"/>
    <col min="6" max="6" width="17.6640625" style="68" customWidth="1"/>
    <col min="7" max="16384" width="18.109375" style="68"/>
  </cols>
  <sheetData>
    <row r="1" spans="1:6" ht="15" customHeight="1" x14ac:dyDescent="0.25">
      <c r="A1" s="252" t="s">
        <v>0</v>
      </c>
      <c r="B1" s="253"/>
      <c r="C1" s="253"/>
    </row>
    <row r="2" spans="1:6" ht="15" customHeight="1" x14ac:dyDescent="0.25">
      <c r="A2" s="254" t="s">
        <v>1</v>
      </c>
      <c r="B2" s="253"/>
      <c r="C2" s="253"/>
    </row>
    <row r="3" spans="1:6" ht="15" customHeight="1" x14ac:dyDescent="0.25">
      <c r="A3" s="252" t="s">
        <v>206</v>
      </c>
      <c r="B3" s="253"/>
      <c r="C3" s="253"/>
    </row>
    <row r="4" spans="1:6" ht="15" customHeight="1" x14ac:dyDescent="0.25">
      <c r="A4" s="252" t="str">
        <f>SCE!A4</f>
        <v>As of June 30, 2024</v>
      </c>
      <c r="B4" s="253"/>
      <c r="C4" s="253"/>
    </row>
    <row r="5" spans="1:6" ht="15" customHeight="1" x14ac:dyDescent="0.25">
      <c r="A5" s="253"/>
      <c r="B5" s="253"/>
      <c r="C5" s="253"/>
    </row>
    <row r="6" spans="1:6" ht="15" customHeight="1" thickBot="1" x14ac:dyDescent="0.3">
      <c r="A6" s="253"/>
      <c r="B6" s="253"/>
      <c r="C6" s="253"/>
      <c r="D6" s="70">
        <f>SCE!E6</f>
        <v>2024</v>
      </c>
      <c r="E6" s="70">
        <f>SCE!F6</f>
        <v>2023</v>
      </c>
      <c r="F6" s="70" t="s">
        <v>3</v>
      </c>
    </row>
    <row r="7" spans="1:6" ht="15" customHeight="1" thickTop="1" x14ac:dyDescent="0.25">
      <c r="A7" s="255"/>
      <c r="B7" s="255"/>
      <c r="C7" s="255"/>
      <c r="D7" s="72"/>
      <c r="E7" s="72"/>
      <c r="F7" s="72"/>
    </row>
    <row r="8" spans="1:6" ht="15" customHeight="1" x14ac:dyDescent="0.25">
      <c r="A8" s="73" t="s">
        <v>47</v>
      </c>
      <c r="B8" s="4"/>
      <c r="C8" s="4"/>
      <c r="D8" s="22"/>
      <c r="E8" s="4"/>
      <c r="F8" s="4"/>
    </row>
    <row r="9" spans="1:6" ht="15" customHeight="1" x14ac:dyDescent="0.25">
      <c r="A9" s="79" t="s">
        <v>48</v>
      </c>
      <c r="B9" s="4"/>
      <c r="C9" s="4"/>
      <c r="D9" s="4"/>
      <c r="E9" s="4"/>
      <c r="F9" s="4"/>
    </row>
    <row r="10" spans="1:6" ht="15" customHeight="1" x14ac:dyDescent="0.25">
      <c r="A10" s="73"/>
      <c r="B10" s="4" t="s">
        <v>208</v>
      </c>
      <c r="C10" s="4"/>
      <c r="D10" s="135">
        <f>'Detailed SCF'!D11</f>
        <v>86582521.109999985</v>
      </c>
      <c r="E10" s="135">
        <f>'Detailed SCF'!E11</f>
        <v>83435432.519999996</v>
      </c>
      <c r="F10" s="78">
        <f>D10-E10</f>
        <v>3147088.5899999887</v>
      </c>
    </row>
    <row r="11" spans="1:6" ht="15" customHeight="1" x14ac:dyDescent="0.25">
      <c r="A11" s="73"/>
      <c r="B11" s="4" t="s">
        <v>62</v>
      </c>
      <c r="C11" s="4"/>
      <c r="D11" s="89">
        <f>'Detailed SCF'!D13</f>
        <v>12263744.02</v>
      </c>
      <c r="E11" s="89">
        <f>'Detailed SCF'!E13</f>
        <v>3395149.83</v>
      </c>
      <c r="F11" s="78">
        <f t="shared" ref="F11:F13" si="0">D11-E11</f>
        <v>8868594.1899999995</v>
      </c>
    </row>
    <row r="12" spans="1:6" ht="15" customHeight="1" x14ac:dyDescent="0.25">
      <c r="A12" s="73"/>
      <c r="B12" s="4" t="s">
        <v>216</v>
      </c>
      <c r="C12" s="4"/>
      <c r="D12" s="89">
        <f>'Detailed SCF'!D15</f>
        <v>1791265.82</v>
      </c>
      <c r="E12" s="89">
        <f>'Detailed SCF'!E15</f>
        <v>2001319.05</v>
      </c>
      <c r="F12" s="78">
        <f t="shared" si="0"/>
        <v>-210053.22999999998</v>
      </c>
    </row>
    <row r="13" spans="1:6" ht="15" customHeight="1" x14ac:dyDescent="0.25">
      <c r="A13" s="73"/>
      <c r="B13" s="4" t="s">
        <v>234</v>
      </c>
      <c r="C13" s="4"/>
      <c r="D13" s="89">
        <f>'Detailed SCF'!D17</f>
        <v>40216098.939999998</v>
      </c>
      <c r="E13" s="89">
        <f>'Detailed SCF'!E17</f>
        <v>20030311.109999999</v>
      </c>
      <c r="F13" s="78">
        <f t="shared" si="0"/>
        <v>20185787.829999998</v>
      </c>
    </row>
    <row r="14" spans="1:6" ht="15" customHeight="1" x14ac:dyDescent="0.25">
      <c r="A14" s="73"/>
      <c r="B14" s="4" t="s">
        <v>49</v>
      </c>
      <c r="C14" s="4"/>
      <c r="D14" s="89">
        <f>SUM(D10:D13)</f>
        <v>140853629.88999999</v>
      </c>
      <c r="E14" s="89">
        <f>SUM(E10:E13)</f>
        <v>108862212.50999999</v>
      </c>
      <c r="F14" s="78">
        <f>SUM(F10:F13)</f>
        <v>31991417.379999988</v>
      </c>
    </row>
    <row r="15" spans="1:6" ht="15" customHeight="1" x14ac:dyDescent="0.25">
      <c r="A15" s="79" t="s">
        <v>50</v>
      </c>
      <c r="B15" s="4"/>
      <c r="C15" s="4"/>
      <c r="D15" s="136"/>
      <c r="E15" s="136"/>
      <c r="F15" s="78">
        <f t="shared" ref="F15" si="1">E15-D15</f>
        <v>0</v>
      </c>
    </row>
    <row r="16" spans="1:6" ht="15" customHeight="1" x14ac:dyDescent="0.25">
      <c r="A16" s="73"/>
      <c r="B16" s="4" t="s">
        <v>211</v>
      </c>
      <c r="C16" s="4"/>
      <c r="D16" s="137">
        <f>'Detailed SCF'!D21+'Detailed SCF'!D22</f>
        <v>38470890.950000003</v>
      </c>
      <c r="E16" s="137">
        <f>'Detailed SCF'!E21+'Detailed SCF'!E22</f>
        <v>35574748.159999996</v>
      </c>
      <c r="F16" s="78">
        <f t="shared" ref="F16:F19" si="2">D16-E16</f>
        <v>2896142.7900000066</v>
      </c>
    </row>
    <row r="17" spans="1:7" ht="15" customHeight="1" x14ac:dyDescent="0.25">
      <c r="A17" s="73"/>
      <c r="B17" s="4" t="s">
        <v>221</v>
      </c>
      <c r="C17" s="4"/>
      <c r="D17" s="137">
        <f>'Detailed SCF'!D24</f>
        <v>697560.39999999991</v>
      </c>
      <c r="E17" s="137">
        <f>'Detailed SCF'!E24</f>
        <v>612246.44999999995</v>
      </c>
      <c r="F17" s="78">
        <f t="shared" si="2"/>
        <v>85313.949999999953</v>
      </c>
    </row>
    <row r="18" spans="1:7" ht="15" customHeight="1" x14ac:dyDescent="0.25">
      <c r="A18" s="73"/>
      <c r="B18" s="4" t="s">
        <v>225</v>
      </c>
      <c r="C18" s="4"/>
      <c r="D18" s="137">
        <f>'Detailed SCF'!D25</f>
        <v>9082088.5399999991</v>
      </c>
      <c r="E18" s="137">
        <f>'Detailed SCF'!E25</f>
        <v>2980993.42</v>
      </c>
      <c r="F18" s="78">
        <f t="shared" si="2"/>
        <v>6101095.1199999992</v>
      </c>
    </row>
    <row r="19" spans="1:7" ht="29.4" customHeight="1" x14ac:dyDescent="0.25">
      <c r="A19" s="73"/>
      <c r="B19" s="265" t="s">
        <v>213</v>
      </c>
      <c r="C19" s="265"/>
      <c r="D19" s="137">
        <f>'Detailed SCF'!D27+'Detailed SCF'!D28</f>
        <v>6582897.1100000003</v>
      </c>
      <c r="E19" s="137">
        <f>'Detailed SCF'!E27+'Detailed SCF'!E28</f>
        <v>4798516.25</v>
      </c>
      <c r="F19" s="78">
        <f t="shared" si="2"/>
        <v>1784380.8600000003</v>
      </c>
    </row>
    <row r="20" spans="1:7" ht="15" customHeight="1" x14ac:dyDescent="0.25">
      <c r="A20" s="73"/>
      <c r="B20" s="4" t="s">
        <v>210</v>
      </c>
      <c r="C20" s="4"/>
      <c r="D20" s="136">
        <f>'Detailed SCF'!D30+'Detailed SCF'!D31</f>
        <v>60000000</v>
      </c>
      <c r="E20" s="136">
        <f>'Detailed SCF'!E30+'Detailed SCF'!E31</f>
        <v>60000000</v>
      </c>
      <c r="F20" s="78">
        <v>0</v>
      </c>
    </row>
    <row r="21" spans="1:7" ht="15" customHeight="1" x14ac:dyDescent="0.25">
      <c r="A21" s="222"/>
      <c r="B21" s="263" t="s">
        <v>51</v>
      </c>
      <c r="C21" s="264"/>
      <c r="D21" s="223">
        <f t="shared" ref="D21" si="3">SUM(D16:D20)</f>
        <v>114833437</v>
      </c>
      <c r="E21" s="223">
        <f t="shared" ref="E21:F21" si="4">SUM(E16:E20)</f>
        <v>103966504.28</v>
      </c>
      <c r="F21" s="223">
        <f t="shared" si="4"/>
        <v>10866932.720000006</v>
      </c>
      <c r="G21" s="139"/>
    </row>
    <row r="22" spans="1:7" ht="15" customHeight="1" x14ac:dyDescent="0.25">
      <c r="A22" s="251"/>
      <c r="B22" s="251"/>
      <c r="C22" s="251"/>
      <c r="D22" s="140"/>
      <c r="E22" s="140"/>
      <c r="F22" s="140"/>
    </row>
    <row r="23" spans="1:7" ht="15" customHeight="1" x14ac:dyDescent="0.25">
      <c r="A23" s="252" t="s">
        <v>52</v>
      </c>
      <c r="B23" s="253"/>
      <c r="C23" s="253"/>
      <c r="D23" s="141">
        <f>D14-D21</f>
        <v>26020192.889999986</v>
      </c>
      <c r="E23" s="141">
        <f>E14-E21</f>
        <v>4895708.2299999893</v>
      </c>
      <c r="F23" s="141">
        <f>+F21+F14</f>
        <v>42858350.099999994</v>
      </c>
      <c r="G23" s="139"/>
    </row>
    <row r="24" spans="1:7" ht="15" customHeight="1" x14ac:dyDescent="0.25">
      <c r="A24" s="251"/>
      <c r="B24" s="251"/>
      <c r="C24" s="251"/>
      <c r="D24" s="140"/>
      <c r="E24" s="140"/>
      <c r="F24" s="140"/>
    </row>
    <row r="25" spans="1:7" ht="15" customHeight="1" x14ac:dyDescent="0.25">
      <c r="A25" s="73" t="s">
        <v>53</v>
      </c>
      <c r="B25" s="4"/>
      <c r="C25" s="4"/>
      <c r="D25" s="136"/>
      <c r="E25" s="136"/>
      <c r="F25" s="136"/>
    </row>
    <row r="26" spans="1:7" ht="15" customHeight="1" x14ac:dyDescent="0.25">
      <c r="A26" s="260" t="s">
        <v>48</v>
      </c>
      <c r="B26" s="260"/>
      <c r="C26" s="260"/>
      <c r="D26" s="136"/>
      <c r="E26" s="136"/>
      <c r="F26" s="138"/>
    </row>
    <row r="27" spans="1:7" ht="15" customHeight="1" x14ac:dyDescent="0.25">
      <c r="A27" s="88"/>
      <c r="B27" s="256" t="s">
        <v>214</v>
      </c>
      <c r="C27" s="253"/>
      <c r="D27" s="89">
        <f>'Detailed SCF'!D38</f>
        <v>101304.38</v>
      </c>
      <c r="E27" s="89">
        <f>'Detailed SCI'!F14</f>
        <v>107030.16</v>
      </c>
      <c r="F27" s="78">
        <f t="shared" ref="F27:F30" si="5">D27-E27</f>
        <v>-5725.7799999999988</v>
      </c>
    </row>
    <row r="28" spans="1:7" ht="15" customHeight="1" x14ac:dyDescent="0.25">
      <c r="A28" s="260" t="s">
        <v>50</v>
      </c>
      <c r="B28" s="260"/>
      <c r="C28" s="260"/>
      <c r="D28" s="137"/>
      <c r="E28" s="137"/>
      <c r="F28" s="138"/>
    </row>
    <row r="29" spans="1:7" ht="15" customHeight="1" x14ac:dyDescent="0.25">
      <c r="A29" s="88"/>
      <c r="B29" s="261" t="s">
        <v>228</v>
      </c>
      <c r="C29" s="261"/>
      <c r="D29" s="89">
        <f>('Detailed SCF'!D41)</f>
        <v>1666743.16</v>
      </c>
      <c r="E29" s="89">
        <f>'Detailed SCF'!E41</f>
        <v>2356843.5499999998</v>
      </c>
      <c r="F29" s="78">
        <f>D29-E29</f>
        <v>-690100.3899999999</v>
      </c>
    </row>
    <row r="30" spans="1:7" ht="15" customHeight="1" x14ac:dyDescent="0.25">
      <c r="A30" s="88"/>
      <c r="B30" s="261" t="s">
        <v>215</v>
      </c>
      <c r="C30" s="261"/>
      <c r="D30" s="78">
        <f>('Detailed SCF'!D43+'Detailed SCF'!D44+'Detailed SCF'!D45+'Detailed SCF'!D46)</f>
        <v>1529718.6800000002</v>
      </c>
      <c r="E30" s="78">
        <f>'Detailed SCF'!E43+'Detailed SCF'!E44+'Detailed SCF'!E45+'Detailed SCF'!E46</f>
        <v>0</v>
      </c>
      <c r="F30" s="78">
        <f t="shared" si="5"/>
        <v>1529718.6800000002</v>
      </c>
    </row>
    <row r="31" spans="1:7" ht="15" customHeight="1" x14ac:dyDescent="0.25">
      <c r="A31" s="224"/>
      <c r="B31" s="225" t="s">
        <v>51</v>
      </c>
      <c r="C31" s="224"/>
      <c r="D31" s="226">
        <f>D29+D30</f>
        <v>3196461.84</v>
      </c>
      <c r="E31" s="226">
        <f>E29+E30</f>
        <v>2356843.5499999998</v>
      </c>
      <c r="F31" s="227">
        <f>D31-E31</f>
        <v>839618.29</v>
      </c>
      <c r="G31" s="228"/>
    </row>
    <row r="32" spans="1:7" ht="15" customHeight="1" x14ac:dyDescent="0.25">
      <c r="B32" s="79"/>
      <c r="C32" s="79"/>
      <c r="D32" s="138"/>
      <c r="E32" s="138"/>
      <c r="F32" s="138"/>
    </row>
    <row r="33" spans="1:7" ht="15" customHeight="1" x14ac:dyDescent="0.3">
      <c r="A33" s="257" t="s">
        <v>54</v>
      </c>
      <c r="B33" s="262"/>
      <c r="C33" s="262"/>
      <c r="D33" s="143">
        <f>D27-D31</f>
        <v>-3095157.46</v>
      </c>
      <c r="E33" s="143">
        <f>E27-E31</f>
        <v>-2249813.3899999997</v>
      </c>
      <c r="F33" s="144">
        <f>F27+F31</f>
        <v>833892.51</v>
      </c>
      <c r="G33" s="228"/>
    </row>
    <row r="34" spans="1:7" ht="15" customHeight="1" x14ac:dyDescent="0.25">
      <c r="B34" s="256"/>
      <c r="C34" s="256"/>
      <c r="D34" s="138"/>
      <c r="E34" s="138"/>
      <c r="F34" s="138"/>
    </row>
    <row r="35" spans="1:7" ht="15" customHeight="1" x14ac:dyDescent="0.25">
      <c r="A35" s="73" t="s">
        <v>55</v>
      </c>
      <c r="B35" s="4"/>
      <c r="C35" s="4"/>
      <c r="D35" s="136"/>
      <c r="E35" s="136"/>
      <c r="F35" s="136"/>
    </row>
    <row r="36" spans="1:7" ht="15" customHeight="1" x14ac:dyDescent="0.25">
      <c r="A36" s="260" t="s">
        <v>50</v>
      </c>
      <c r="B36" s="260"/>
      <c r="C36" s="260"/>
      <c r="D36" s="136"/>
      <c r="E36" s="136"/>
      <c r="F36" s="138"/>
    </row>
    <row r="37" spans="1:7" ht="15" customHeight="1" x14ac:dyDescent="0.25">
      <c r="A37" s="85"/>
      <c r="B37" s="81" t="s">
        <v>63</v>
      </c>
      <c r="C37" s="85"/>
      <c r="D37" s="83">
        <f>'Detailed SCF'!D53</f>
        <v>10487537.25</v>
      </c>
      <c r="E37" s="185">
        <v>3806154.16</v>
      </c>
      <c r="F37" s="142">
        <f>D37-E37</f>
        <v>6681383.0899999999</v>
      </c>
    </row>
    <row r="38" spans="1:7" ht="15" customHeight="1" x14ac:dyDescent="0.25">
      <c r="B38" s="79"/>
      <c r="C38" s="79"/>
      <c r="D38" s="138"/>
      <c r="E38" s="138"/>
      <c r="F38" s="138"/>
    </row>
    <row r="39" spans="1:7" ht="15" customHeight="1" x14ac:dyDescent="0.3">
      <c r="A39" s="257" t="s">
        <v>56</v>
      </c>
      <c r="B39" s="262"/>
      <c r="C39" s="262"/>
      <c r="D39" s="143">
        <f>-D37</f>
        <v>-10487537.25</v>
      </c>
      <c r="E39" s="143">
        <f>-E37</f>
        <v>-3806154.16</v>
      </c>
      <c r="F39" s="143">
        <f>F37</f>
        <v>6681383.0899999999</v>
      </c>
    </row>
    <row r="40" spans="1:7" ht="15" customHeight="1" x14ac:dyDescent="0.3">
      <c r="A40" s="88"/>
      <c r="D40" s="145"/>
      <c r="E40" s="145"/>
      <c r="F40" s="145"/>
    </row>
    <row r="41" spans="1:7" ht="15" customHeight="1" x14ac:dyDescent="0.3">
      <c r="A41" s="252" t="s">
        <v>57</v>
      </c>
      <c r="B41" s="253"/>
      <c r="C41" s="253"/>
      <c r="D41" s="145">
        <f>D23+D33+D39</f>
        <v>12437498.179999985</v>
      </c>
      <c r="E41" s="145">
        <f>E23+E33+E39</f>
        <v>-1160259.3200000105</v>
      </c>
      <c r="F41" s="145">
        <f>F23+F33+F39</f>
        <v>50373625.699999988</v>
      </c>
      <c r="G41" s="139"/>
    </row>
    <row r="42" spans="1:7" ht="15" customHeight="1" x14ac:dyDescent="0.3">
      <c r="A42" s="88"/>
      <c r="D42" s="145"/>
      <c r="E42" s="145"/>
      <c r="F42" s="145"/>
    </row>
    <row r="43" spans="1:7" ht="15" customHeight="1" x14ac:dyDescent="0.3">
      <c r="A43" s="257" t="s">
        <v>58</v>
      </c>
      <c r="B43" s="262"/>
      <c r="C43" s="262"/>
      <c r="D43" s="144">
        <f>'Detailed SCF'!D59</f>
        <v>8560466.7599999998</v>
      </c>
      <c r="E43" s="144">
        <f>'Detailed SCF'!E59</f>
        <v>24414311.690000001</v>
      </c>
      <c r="F43" s="144">
        <f>D43-E43</f>
        <v>-15853844.930000002</v>
      </c>
      <c r="G43" s="139"/>
    </row>
    <row r="44" spans="1:7" ht="15" customHeight="1" x14ac:dyDescent="0.3">
      <c r="A44" s="88"/>
      <c r="D44" s="145"/>
      <c r="E44" s="145"/>
      <c r="F44" s="145"/>
    </row>
    <row r="45" spans="1:7" ht="15" customHeight="1" thickBot="1" x14ac:dyDescent="0.35">
      <c r="A45" s="258" t="s">
        <v>59</v>
      </c>
      <c r="B45" s="259"/>
      <c r="C45" s="259"/>
      <c r="D45" s="146">
        <f t="shared" ref="D45" si="6">D41+D43</f>
        <v>20997964.939999983</v>
      </c>
      <c r="E45" s="146">
        <f t="shared" ref="E45" si="7">E41+E43</f>
        <v>23254052.36999999</v>
      </c>
      <c r="F45" s="146">
        <f>D45-E45</f>
        <v>-2256087.4300000072</v>
      </c>
    </row>
    <row r="46" spans="1:7" ht="15" customHeight="1" thickTop="1" x14ac:dyDescent="0.25">
      <c r="D46" s="147">
        <f>D45-'Detailed SCF'!D61</f>
        <v>0</v>
      </c>
      <c r="E46" s="147">
        <f>E45-'Detailed SCF'!E61</f>
        <v>0</v>
      </c>
      <c r="F46" s="147">
        <f>D45-E45-F45</f>
        <v>0</v>
      </c>
    </row>
    <row r="47" spans="1:7" s="98" customFormat="1" ht="15" customHeight="1" x14ac:dyDescent="0.3">
      <c r="E47" s="148"/>
    </row>
    <row r="48" spans="1:7" s="98" customFormat="1" ht="15" customHeight="1" x14ac:dyDescent="0.25">
      <c r="E48" s="99"/>
    </row>
    <row r="49" spans="1:6" s="98" customFormat="1" ht="15" customHeight="1" x14ac:dyDescent="0.25">
      <c r="E49" s="99"/>
    </row>
    <row r="50" spans="1:6" s="98" customFormat="1" ht="15" customHeight="1" x14ac:dyDescent="0.3">
      <c r="A50" s="100"/>
      <c r="E50" s="99"/>
    </row>
    <row r="51" spans="1:6" s="98" customFormat="1" ht="15" customHeight="1" x14ac:dyDescent="0.3">
      <c r="A51" s="101"/>
      <c r="E51" s="99"/>
    </row>
    <row r="52" spans="1:6" ht="15" customHeight="1" x14ac:dyDescent="0.25">
      <c r="D52" s="149"/>
      <c r="E52" s="147"/>
      <c r="F52" s="149"/>
    </row>
    <row r="53" spans="1:6" ht="15" customHeight="1" x14ac:dyDescent="0.25">
      <c r="D53" s="139"/>
      <c r="E53" s="147"/>
      <c r="F53" s="139"/>
    </row>
    <row r="54" spans="1:6" ht="15" customHeight="1" x14ac:dyDescent="0.25">
      <c r="E54" s="147"/>
    </row>
    <row r="55" spans="1:6" ht="15" customHeight="1" x14ac:dyDescent="0.25">
      <c r="E55" s="147"/>
    </row>
    <row r="56" spans="1:6" ht="15" customHeight="1" x14ac:dyDescent="0.25">
      <c r="E56" s="147"/>
    </row>
    <row r="57" spans="1:6" ht="15" customHeight="1" x14ac:dyDescent="0.25">
      <c r="E57" s="147"/>
    </row>
    <row r="58" spans="1:6" ht="15" customHeight="1" x14ac:dyDescent="0.25">
      <c r="E58" s="147"/>
    </row>
    <row r="59" spans="1:6" ht="15" customHeight="1" x14ac:dyDescent="0.25">
      <c r="E59" s="147"/>
    </row>
    <row r="60" spans="1:6" ht="15" customHeight="1" x14ac:dyDescent="0.25">
      <c r="E60" s="147"/>
    </row>
    <row r="61" spans="1:6" ht="15" customHeight="1" x14ac:dyDescent="0.25">
      <c r="E61" s="147"/>
    </row>
    <row r="62" spans="1:6" ht="15" customHeight="1" x14ac:dyDescent="0.25">
      <c r="E62" s="147"/>
    </row>
    <row r="63" spans="1:6" ht="15" customHeight="1" x14ac:dyDescent="0.25">
      <c r="E63" s="147"/>
    </row>
    <row r="64" spans="1:6" ht="15" customHeight="1" x14ac:dyDescent="0.25">
      <c r="E64" s="147"/>
    </row>
    <row r="65" spans="5:5" ht="15" customHeight="1" x14ac:dyDescent="0.25">
      <c r="E65" s="147"/>
    </row>
    <row r="66" spans="5:5" ht="15" customHeight="1" x14ac:dyDescent="0.25">
      <c r="E66" s="147"/>
    </row>
    <row r="67" spans="5:5" ht="15" customHeight="1" x14ac:dyDescent="0.25">
      <c r="E67" s="147"/>
    </row>
  </sheetData>
  <mergeCells count="24">
    <mergeCell ref="A6:C6"/>
    <mergeCell ref="A1:C1"/>
    <mergeCell ref="A2:C2"/>
    <mergeCell ref="A3:C3"/>
    <mergeCell ref="A4:C4"/>
    <mergeCell ref="A5:C5"/>
    <mergeCell ref="A7:C7"/>
    <mergeCell ref="B21:C21"/>
    <mergeCell ref="A22:C22"/>
    <mergeCell ref="A23:C23"/>
    <mergeCell ref="A24:C24"/>
    <mergeCell ref="B19:C19"/>
    <mergeCell ref="A45:C45"/>
    <mergeCell ref="A26:C26"/>
    <mergeCell ref="B27:C27"/>
    <mergeCell ref="A28:C28"/>
    <mergeCell ref="B29:C29"/>
    <mergeCell ref="A33:C33"/>
    <mergeCell ref="B34:C34"/>
    <mergeCell ref="A36:C36"/>
    <mergeCell ref="A39:C39"/>
    <mergeCell ref="A41:C41"/>
    <mergeCell ref="A43:C43"/>
    <mergeCell ref="B30:C30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G83"/>
  <sheetViews>
    <sheetView zoomScale="120" zoomScaleNormal="120" workbookViewId="0">
      <pane xSplit="3" ySplit="6" topLeftCell="D58" activePane="bottomRight" state="frozen"/>
      <selection pane="topRight" activeCell="D1" sqref="D1"/>
      <selection pane="bottomLeft" activeCell="A7" sqref="A7"/>
      <selection pane="bottomRight" activeCell="D58" sqref="D58"/>
    </sheetView>
  </sheetViews>
  <sheetFormatPr defaultColWidth="18.109375" defaultRowHeight="15" customHeight="1" x14ac:dyDescent="0.25"/>
  <cols>
    <col min="1" max="1" width="3.21875" style="156" customWidth="1"/>
    <col min="2" max="2" width="4" style="156" customWidth="1"/>
    <col min="3" max="3" width="56.33203125" style="156" customWidth="1"/>
    <col min="4" max="4" width="18.109375" style="156" customWidth="1"/>
    <col min="5" max="5" width="18.77734375" style="157" customWidth="1"/>
    <col min="6" max="6" width="17.6640625" style="156" customWidth="1"/>
    <col min="7" max="16384" width="18.109375" style="156"/>
  </cols>
  <sheetData>
    <row r="1" spans="1:6" ht="15" customHeight="1" x14ac:dyDescent="0.3">
      <c r="A1" s="268" t="s">
        <v>0</v>
      </c>
      <c r="B1" s="269"/>
      <c r="C1" s="269"/>
      <c r="E1" s="244"/>
      <c r="F1" s="247"/>
    </row>
    <row r="2" spans="1:6" ht="15" customHeight="1" x14ac:dyDescent="0.25">
      <c r="A2" s="278" t="s">
        <v>1</v>
      </c>
      <c r="B2" s="269"/>
      <c r="C2" s="269"/>
    </row>
    <row r="3" spans="1:6" ht="15" customHeight="1" x14ac:dyDescent="0.25">
      <c r="A3" s="268" t="s">
        <v>207</v>
      </c>
      <c r="B3" s="269"/>
      <c r="C3" s="269"/>
    </row>
    <row r="4" spans="1:6" ht="15" customHeight="1" x14ac:dyDescent="0.25">
      <c r="A4" s="268" t="str">
        <f>SCE!A4</f>
        <v>As of June 30, 2024</v>
      </c>
      <c r="B4" s="269"/>
      <c r="C4" s="269"/>
    </row>
    <row r="5" spans="1:6" ht="15" customHeight="1" x14ac:dyDescent="0.25">
      <c r="A5" s="269"/>
      <c r="B5" s="269"/>
      <c r="C5" s="269"/>
    </row>
    <row r="6" spans="1:6" ht="15" customHeight="1" thickBot="1" x14ac:dyDescent="0.3">
      <c r="A6" s="269"/>
      <c r="B6" s="269"/>
      <c r="C6" s="269"/>
      <c r="D6" s="158">
        <f>SCF!D6</f>
        <v>2024</v>
      </c>
      <c r="E6" s="159">
        <f>SCF!E6</f>
        <v>2023</v>
      </c>
      <c r="F6" s="158" t="s">
        <v>3</v>
      </c>
    </row>
    <row r="7" spans="1:6" ht="15" customHeight="1" thickTop="1" x14ac:dyDescent="0.25">
      <c r="A7" s="273"/>
      <c r="B7" s="273"/>
      <c r="C7" s="273"/>
      <c r="D7" s="160"/>
      <c r="E7" s="161"/>
      <c r="F7" s="160"/>
    </row>
    <row r="8" spans="1:6" ht="15" customHeight="1" x14ac:dyDescent="0.25">
      <c r="A8" s="162" t="s">
        <v>47</v>
      </c>
      <c r="B8" s="163"/>
      <c r="C8" s="163"/>
      <c r="D8" s="164"/>
      <c r="E8" s="165"/>
      <c r="F8" s="163"/>
    </row>
    <row r="9" spans="1:6" ht="15" customHeight="1" x14ac:dyDescent="0.25">
      <c r="A9" s="162" t="s">
        <v>48</v>
      </c>
      <c r="B9" s="163"/>
      <c r="C9" s="163"/>
      <c r="D9" s="163"/>
      <c r="E9" s="165"/>
      <c r="F9" s="163"/>
    </row>
    <row r="10" spans="1:6" ht="15" customHeight="1" x14ac:dyDescent="0.25">
      <c r="A10" s="166"/>
      <c r="B10" s="163" t="s">
        <v>208</v>
      </c>
      <c r="C10" s="163"/>
      <c r="D10" s="163"/>
      <c r="E10" s="165"/>
      <c r="F10" s="163"/>
    </row>
    <row r="11" spans="1:6" ht="15" customHeight="1" x14ac:dyDescent="0.25">
      <c r="A11" s="162"/>
      <c r="C11" s="163" t="s">
        <v>209</v>
      </c>
      <c r="D11" s="167">
        <f>85830842.16+'Detailed SCI'!E15+76102.88+257071.64+38068.1+320853</f>
        <v>86582521.109999985</v>
      </c>
      <c r="E11" s="168">
        <v>83435432.519999996</v>
      </c>
      <c r="F11" s="169">
        <f>D11-E11</f>
        <v>3147088.5899999887</v>
      </c>
    </row>
    <row r="12" spans="1:6" ht="15" customHeight="1" x14ac:dyDescent="0.25">
      <c r="A12" s="162"/>
      <c r="B12" s="163" t="s">
        <v>62</v>
      </c>
      <c r="C12" s="163"/>
      <c r="D12" s="167"/>
      <c r="E12" s="168"/>
      <c r="F12" s="169"/>
    </row>
    <row r="13" spans="1:6" ht="15" customHeight="1" x14ac:dyDescent="0.25">
      <c r="A13" s="162"/>
      <c r="C13" s="163" t="s">
        <v>237</v>
      </c>
      <c r="D13" s="169">
        <f>1199150.19+6926040.23+4138553.6</f>
        <v>12263744.02</v>
      </c>
      <c r="E13" s="170">
        <v>3395149.83</v>
      </c>
      <c r="F13" s="169">
        <f>D13-E13</f>
        <v>8868594.1899999995</v>
      </c>
    </row>
    <row r="14" spans="1:6" ht="15" customHeight="1" x14ac:dyDescent="0.25">
      <c r="A14" s="162"/>
      <c r="B14" s="156" t="s">
        <v>216</v>
      </c>
      <c r="C14" s="163"/>
      <c r="D14" s="169"/>
      <c r="E14" s="170"/>
      <c r="F14" s="171"/>
    </row>
    <row r="15" spans="1:6" ht="15" customHeight="1" x14ac:dyDescent="0.25">
      <c r="A15" s="162"/>
      <c r="C15" s="163" t="s">
        <v>217</v>
      </c>
      <c r="D15" s="169">
        <v>1791265.82</v>
      </c>
      <c r="E15" s="89">
        <v>2001319.05</v>
      </c>
      <c r="F15" s="169">
        <f>D15-E15</f>
        <v>-210053.22999999998</v>
      </c>
    </row>
    <row r="16" spans="1:6" ht="15" customHeight="1" x14ac:dyDescent="0.25">
      <c r="A16" s="162"/>
      <c r="B16" s="163" t="s">
        <v>210</v>
      </c>
      <c r="C16" s="163"/>
      <c r="D16" s="169"/>
      <c r="E16" s="173"/>
      <c r="F16" s="171"/>
    </row>
    <row r="17" spans="1:7" ht="15" customHeight="1" x14ac:dyDescent="0.25">
      <c r="A17" s="162"/>
      <c r="B17" s="163"/>
      <c r="C17" s="163" t="s">
        <v>233</v>
      </c>
      <c r="D17" s="169">
        <f>20000000+20216098.94</f>
        <v>40216098.939999998</v>
      </c>
      <c r="E17" s="173">
        <v>20030311.109999999</v>
      </c>
      <c r="F17" s="169">
        <f>D17-E17</f>
        <v>20185787.829999998</v>
      </c>
    </row>
    <row r="18" spans="1:7" ht="15" customHeight="1" x14ac:dyDescent="0.25">
      <c r="A18" s="219"/>
      <c r="B18" s="220" t="s">
        <v>49</v>
      </c>
      <c r="C18" s="220"/>
      <c r="D18" s="221">
        <f>SUM(D11:D17)</f>
        <v>140853629.88999999</v>
      </c>
      <c r="E18" s="221">
        <f>SUM(E11:E17)</f>
        <v>108862212.50999999</v>
      </c>
      <c r="F18" s="221">
        <f>SUM(F11:F17)</f>
        <v>31991417.379999988</v>
      </c>
    </row>
    <row r="19" spans="1:7" ht="15" customHeight="1" x14ac:dyDescent="0.25">
      <c r="A19" s="162" t="s">
        <v>50</v>
      </c>
      <c r="B19" s="163"/>
      <c r="C19" s="163"/>
      <c r="D19" s="171"/>
      <c r="E19" s="179"/>
      <c r="F19" s="171"/>
    </row>
    <row r="20" spans="1:7" ht="15" customHeight="1" x14ac:dyDescent="0.25">
      <c r="A20" s="166"/>
      <c r="B20" s="163" t="s">
        <v>211</v>
      </c>
      <c r="C20" s="163"/>
      <c r="D20" s="171"/>
      <c r="E20" s="180"/>
      <c r="F20" s="171"/>
    </row>
    <row r="21" spans="1:7" ht="15" customHeight="1" x14ac:dyDescent="0.25">
      <c r="A21" s="166"/>
      <c r="B21" s="163"/>
      <c r="C21" s="163" t="s">
        <v>218</v>
      </c>
      <c r="D21" s="171">
        <f>'Detailed SCI'!E50-'Detailed SCI'!E32-'Detailed SCI'!E33</f>
        <v>31785911.190000005</v>
      </c>
      <c r="E21" s="180">
        <v>28859258.829999998</v>
      </c>
      <c r="F21" s="171">
        <f>D21-E21</f>
        <v>2926652.3600000069</v>
      </c>
    </row>
    <row r="22" spans="1:7" ht="15" customHeight="1" x14ac:dyDescent="0.25">
      <c r="A22" s="166"/>
      <c r="B22" s="163"/>
      <c r="C22" s="163" t="s">
        <v>219</v>
      </c>
      <c r="D22" s="171">
        <f>'Detailed SCI'!E99</f>
        <v>6684979.7599999988</v>
      </c>
      <c r="E22" s="171">
        <v>6715489.3300000001</v>
      </c>
      <c r="F22" s="171">
        <f>D22-E22</f>
        <v>-30509.570000001229</v>
      </c>
      <c r="G22" s="181"/>
    </row>
    <row r="23" spans="1:7" ht="15" customHeight="1" x14ac:dyDescent="0.25">
      <c r="A23" s="166"/>
      <c r="B23" s="163" t="s">
        <v>221</v>
      </c>
      <c r="C23" s="163"/>
      <c r="D23" s="171"/>
      <c r="E23" s="180"/>
      <c r="F23" s="171"/>
      <c r="G23" s="181"/>
    </row>
    <row r="24" spans="1:7" ht="15" customHeight="1" x14ac:dyDescent="0.25">
      <c r="A24" s="166"/>
      <c r="B24" s="163"/>
      <c r="C24" s="163" t="s">
        <v>220</v>
      </c>
      <c r="D24" s="171">
        <f>46805.25+31284.52-99.52+156561.89+31310+31078+115145.8+45570.28+5942.72+95074.5+31923+37504.76+69459.2</f>
        <v>697560.39999999991</v>
      </c>
      <c r="E24" s="241">
        <v>612246.44999999995</v>
      </c>
      <c r="F24" s="171">
        <f>D24-E24</f>
        <v>85313.949999999953</v>
      </c>
    </row>
    <row r="25" spans="1:7" ht="15" customHeight="1" x14ac:dyDescent="0.25">
      <c r="A25" s="166"/>
      <c r="B25" s="163" t="s">
        <v>225</v>
      </c>
      <c r="D25" s="179">
        <v>9082088.5399999991</v>
      </c>
      <c r="E25" s="242">
        <v>2980993.42</v>
      </c>
      <c r="F25" s="171">
        <f>D25-E25</f>
        <v>6101095.1199999992</v>
      </c>
      <c r="G25" s="205"/>
    </row>
    <row r="26" spans="1:7" ht="31.2" customHeight="1" x14ac:dyDescent="0.25">
      <c r="A26" s="166"/>
      <c r="B26" s="274" t="s">
        <v>213</v>
      </c>
      <c r="C26" s="274"/>
      <c r="D26" s="171"/>
      <c r="E26" s="180"/>
      <c r="F26" s="171"/>
    </row>
    <row r="27" spans="1:7" ht="15" customHeight="1" x14ac:dyDescent="0.25">
      <c r="A27" s="166"/>
      <c r="B27" s="163"/>
      <c r="C27" s="182" t="s">
        <v>222</v>
      </c>
      <c r="D27" s="183">
        <f>681275.81+695991.43+534584.67+584183.96+466041.99+583506.5</f>
        <v>3545584.3600000003</v>
      </c>
      <c r="E27" s="184">
        <v>3713175.09</v>
      </c>
      <c r="F27" s="171">
        <f t="shared" ref="F27:F31" si="0">D27-E27</f>
        <v>-167590.72999999952</v>
      </c>
    </row>
    <row r="28" spans="1:7" ht="15" customHeight="1" x14ac:dyDescent="0.25">
      <c r="A28" s="166"/>
      <c r="B28" s="163"/>
      <c r="C28" s="182" t="s">
        <v>223</v>
      </c>
      <c r="D28" s="183">
        <f>-(-'Detailed SCI'!E44)</f>
        <v>3037312.75</v>
      </c>
      <c r="E28" s="184">
        <v>1085341.1599999999</v>
      </c>
      <c r="F28" s="171">
        <f t="shared" si="0"/>
        <v>1951971.59</v>
      </c>
    </row>
    <row r="29" spans="1:7" ht="15" customHeight="1" x14ac:dyDescent="0.25">
      <c r="A29" s="162"/>
      <c r="B29" s="163" t="s">
        <v>210</v>
      </c>
      <c r="C29" s="163"/>
      <c r="E29" s="156"/>
    </row>
    <row r="30" spans="1:7" ht="15" customHeight="1" x14ac:dyDescent="0.25">
      <c r="A30" s="162"/>
      <c r="C30" s="163" t="s">
        <v>212</v>
      </c>
      <c r="D30" s="171">
        <v>60000000</v>
      </c>
      <c r="E30" s="180">
        <v>40000000</v>
      </c>
      <c r="F30" s="171">
        <f t="shared" si="0"/>
        <v>20000000</v>
      </c>
    </row>
    <row r="31" spans="1:7" ht="15" customHeight="1" x14ac:dyDescent="0.25">
      <c r="A31" s="162"/>
      <c r="C31" s="163" t="s">
        <v>252</v>
      </c>
      <c r="D31" s="171">
        <v>0</v>
      </c>
      <c r="E31" s="180">
        <v>20000000</v>
      </c>
      <c r="F31" s="171">
        <f t="shared" si="0"/>
        <v>-20000000</v>
      </c>
    </row>
    <row r="32" spans="1:7" ht="15" customHeight="1" x14ac:dyDescent="0.25">
      <c r="A32" s="217"/>
      <c r="B32" s="275" t="s">
        <v>51</v>
      </c>
      <c r="C32" s="276"/>
      <c r="D32" s="218">
        <f>SUM(D21:D31)</f>
        <v>114833437</v>
      </c>
      <c r="E32" s="218">
        <f t="shared" ref="E32:F32" si="1">SUM(E21:E31)</f>
        <v>103966504.28</v>
      </c>
      <c r="F32" s="218">
        <f t="shared" si="1"/>
        <v>10866932.720000006</v>
      </c>
    </row>
    <row r="33" spans="1:7" ht="15" customHeight="1" x14ac:dyDescent="0.25">
      <c r="A33" s="277"/>
      <c r="B33" s="277"/>
      <c r="C33" s="277"/>
      <c r="D33" s="187"/>
      <c r="E33" s="188"/>
      <c r="F33" s="187"/>
    </row>
    <row r="34" spans="1:7" ht="15" customHeight="1" x14ac:dyDescent="0.25">
      <c r="A34" s="268" t="s">
        <v>52</v>
      </c>
      <c r="B34" s="269"/>
      <c r="C34" s="269"/>
      <c r="D34" s="186">
        <f>D18-D32</f>
        <v>26020192.889999986</v>
      </c>
      <c r="E34" s="186">
        <f>E18-E32</f>
        <v>4895708.2299999893</v>
      </c>
      <c r="F34" s="186">
        <f>F18+F32</f>
        <v>42858350.099999994</v>
      </c>
    </row>
    <row r="35" spans="1:7" ht="15" customHeight="1" x14ac:dyDescent="0.25">
      <c r="A35" s="277"/>
      <c r="B35" s="277"/>
      <c r="C35" s="277"/>
      <c r="D35" s="187"/>
      <c r="E35" s="188"/>
      <c r="F35" s="187"/>
    </row>
    <row r="36" spans="1:7" ht="15" customHeight="1" x14ac:dyDescent="0.25">
      <c r="A36" s="162" t="s">
        <v>53</v>
      </c>
      <c r="B36" s="163"/>
      <c r="C36" s="163"/>
      <c r="D36" s="171"/>
      <c r="E36" s="179"/>
      <c r="F36" s="171"/>
    </row>
    <row r="37" spans="1:7" ht="15" customHeight="1" x14ac:dyDescent="0.25">
      <c r="A37" s="268" t="s">
        <v>48</v>
      </c>
      <c r="B37" s="268"/>
      <c r="C37" s="268"/>
      <c r="D37" s="171"/>
      <c r="E37" s="179"/>
      <c r="F37" s="183"/>
    </row>
    <row r="38" spans="1:7" ht="15" customHeight="1" x14ac:dyDescent="0.25">
      <c r="A38" s="189"/>
      <c r="B38" s="272" t="s">
        <v>214</v>
      </c>
      <c r="C38" s="269"/>
      <c r="D38" s="169">
        <f>'Detailed SCI'!E14</f>
        <v>101304.38</v>
      </c>
      <c r="E38" s="169">
        <f>'Detailed SCI'!F14</f>
        <v>107030.16</v>
      </c>
      <c r="F38" s="183">
        <f>D38-E38</f>
        <v>-5725.7799999999988</v>
      </c>
    </row>
    <row r="39" spans="1:7" ht="15" customHeight="1" x14ac:dyDescent="0.25">
      <c r="A39" s="261" t="s">
        <v>50</v>
      </c>
      <c r="B39" s="261"/>
      <c r="C39" s="261"/>
      <c r="D39" s="171"/>
      <c r="E39" s="180"/>
      <c r="F39" s="183"/>
    </row>
    <row r="40" spans="1:7" ht="15" customHeight="1" x14ac:dyDescent="0.25">
      <c r="A40" s="190"/>
      <c r="B40" s="261" t="s">
        <v>228</v>
      </c>
      <c r="C40" s="261"/>
      <c r="D40" s="171"/>
      <c r="E40" s="180"/>
      <c r="F40" s="183"/>
    </row>
    <row r="41" spans="1:7" ht="15" customHeight="1" x14ac:dyDescent="0.25">
      <c r="A41" s="189"/>
      <c r="C41" s="182" t="s">
        <v>229</v>
      </c>
      <c r="D41" s="169">
        <v>1666743.16</v>
      </c>
      <c r="E41" s="173">
        <v>2356843.5499999998</v>
      </c>
      <c r="F41" s="183">
        <f>D41-E41</f>
        <v>-690100.3899999999</v>
      </c>
      <c r="G41" s="233"/>
    </row>
    <row r="42" spans="1:7" ht="15" customHeight="1" x14ac:dyDescent="0.25">
      <c r="A42" s="189"/>
      <c r="B42" s="261" t="s">
        <v>215</v>
      </c>
      <c r="C42" s="261"/>
      <c r="D42" s="169"/>
      <c r="E42" s="173"/>
      <c r="F42" s="172"/>
    </row>
    <row r="43" spans="1:7" ht="15" customHeight="1" x14ac:dyDescent="0.25">
      <c r="A43" s="189"/>
      <c r="C43" s="182" t="s">
        <v>224</v>
      </c>
      <c r="D43" s="169">
        <f>611702.68+373129+116529</f>
        <v>1101360.6800000002</v>
      </c>
      <c r="E43" s="173">
        <v>0</v>
      </c>
      <c r="F43" s="172">
        <f>D43-E43</f>
        <v>1101360.6800000002</v>
      </c>
    </row>
    <row r="44" spans="1:7" ht="15" customHeight="1" x14ac:dyDescent="0.25">
      <c r="A44" s="189"/>
      <c r="C44" s="182" t="s">
        <v>226</v>
      </c>
      <c r="D44" s="169">
        <f>115000+313358</f>
        <v>428358</v>
      </c>
      <c r="E44" s="191">
        <v>0</v>
      </c>
      <c r="F44" s="183">
        <f>D44-E44</f>
        <v>428358</v>
      </c>
    </row>
    <row r="45" spans="1:7" ht="15" customHeight="1" x14ac:dyDescent="0.25">
      <c r="A45" s="189"/>
      <c r="C45" s="182" t="s">
        <v>230</v>
      </c>
      <c r="D45" s="169">
        <v>0</v>
      </c>
      <c r="E45" s="191">
        <v>0</v>
      </c>
      <c r="F45" s="172">
        <f t="shared" ref="F45:F46" si="2">D45-E45</f>
        <v>0</v>
      </c>
    </row>
    <row r="46" spans="1:7" ht="15" customHeight="1" x14ac:dyDescent="0.25">
      <c r="A46" s="192"/>
      <c r="B46" s="174"/>
      <c r="C46" s="193" t="s">
        <v>227</v>
      </c>
      <c r="D46" s="175">
        <v>0</v>
      </c>
      <c r="E46" s="194">
        <v>0</v>
      </c>
      <c r="F46" s="195">
        <f t="shared" si="2"/>
        <v>0</v>
      </c>
    </row>
    <row r="47" spans="1:7" ht="15" customHeight="1" x14ac:dyDescent="0.25">
      <c r="A47" s="192"/>
      <c r="B47" s="177" t="s">
        <v>51</v>
      </c>
      <c r="C47" s="192"/>
      <c r="D47" s="178">
        <f>SUM(D41:D46)</f>
        <v>3196461.84</v>
      </c>
      <c r="E47" s="178">
        <f>SUM(E41:E46)</f>
        <v>2356843.5499999998</v>
      </c>
      <c r="F47" s="178">
        <f>SUM(F41:F46)</f>
        <v>839618.29000000027</v>
      </c>
    </row>
    <row r="48" spans="1:7" ht="15" customHeight="1" x14ac:dyDescent="0.25">
      <c r="B48" s="166"/>
      <c r="C48" s="166"/>
      <c r="D48" s="183"/>
      <c r="E48" s="196"/>
      <c r="F48" s="183"/>
    </row>
    <row r="49" spans="1:6" ht="15" customHeight="1" x14ac:dyDescent="0.25">
      <c r="A49" s="266" t="s">
        <v>54</v>
      </c>
      <c r="B49" s="267"/>
      <c r="C49" s="267"/>
      <c r="D49" s="178">
        <f>D38-D47</f>
        <v>-3095157.46</v>
      </c>
      <c r="E49" s="178">
        <f>E38-E47</f>
        <v>-2249813.3899999997</v>
      </c>
      <c r="F49" s="178">
        <f>F38+F47</f>
        <v>833892.51000000024</v>
      </c>
    </row>
    <row r="50" spans="1:6" ht="15" customHeight="1" x14ac:dyDescent="0.25">
      <c r="B50" s="272"/>
      <c r="C50" s="272"/>
      <c r="D50" s="183"/>
      <c r="E50" s="196"/>
      <c r="F50" s="183"/>
    </row>
    <row r="51" spans="1:6" ht="15" customHeight="1" x14ac:dyDescent="0.25">
      <c r="A51" s="162" t="s">
        <v>55</v>
      </c>
      <c r="B51" s="163"/>
      <c r="C51" s="163"/>
      <c r="D51" s="171"/>
      <c r="E51" s="179"/>
      <c r="F51" s="171"/>
    </row>
    <row r="52" spans="1:6" ht="15" customHeight="1" x14ac:dyDescent="0.25">
      <c r="A52" s="261" t="s">
        <v>50</v>
      </c>
      <c r="B52" s="261"/>
      <c r="C52" s="261"/>
      <c r="D52" s="171"/>
      <c r="E52" s="179"/>
      <c r="F52" s="183"/>
    </row>
    <row r="53" spans="1:6" ht="15" customHeight="1" x14ac:dyDescent="0.25">
      <c r="A53" s="197"/>
      <c r="B53" s="198" t="s">
        <v>63</v>
      </c>
      <c r="C53" s="192"/>
      <c r="D53" s="175">
        <v>10487537.25</v>
      </c>
      <c r="E53" s="185">
        <v>3806154.16</v>
      </c>
      <c r="F53" s="176">
        <f>D53-E53</f>
        <v>6681383.0899999999</v>
      </c>
    </row>
    <row r="54" spans="1:6" ht="15" customHeight="1" x14ac:dyDescent="0.25">
      <c r="B54" s="166"/>
      <c r="C54" s="166"/>
      <c r="D54" s="183"/>
      <c r="E54" s="196"/>
      <c r="F54" s="183"/>
    </row>
    <row r="55" spans="1:6" ht="15" customHeight="1" x14ac:dyDescent="0.25">
      <c r="A55" s="266" t="s">
        <v>56</v>
      </c>
      <c r="B55" s="267"/>
      <c r="C55" s="267"/>
      <c r="D55" s="178">
        <f>-D53</f>
        <v>-10487537.25</v>
      </c>
      <c r="E55" s="178">
        <f>-E53</f>
        <v>-3806154.16</v>
      </c>
      <c r="F55" s="178">
        <f t="shared" ref="F55" si="3">F53</f>
        <v>6681383.0899999999</v>
      </c>
    </row>
    <row r="56" spans="1:6" ht="15" customHeight="1" x14ac:dyDescent="0.25">
      <c r="A56" s="189"/>
      <c r="D56" s="199"/>
      <c r="E56" s="200"/>
      <c r="F56" s="199"/>
    </row>
    <row r="57" spans="1:6" ht="15" customHeight="1" x14ac:dyDescent="0.25">
      <c r="A57" s="268" t="s">
        <v>57</v>
      </c>
      <c r="B57" s="269"/>
      <c r="C57" s="269"/>
      <c r="D57" s="200">
        <f>D34+D49+D55</f>
        <v>12437498.179999985</v>
      </c>
      <c r="E57" s="200">
        <f>E34+E49+E55</f>
        <v>-1160259.3200000105</v>
      </c>
      <c r="F57" s="199">
        <f>F34+F49+F55</f>
        <v>50373625.699999988</v>
      </c>
    </row>
    <row r="58" spans="1:6" ht="15" customHeight="1" x14ac:dyDescent="0.25">
      <c r="A58" s="189"/>
      <c r="D58" s="199"/>
      <c r="E58" s="200"/>
      <c r="F58" s="199"/>
    </row>
    <row r="59" spans="1:6" ht="15" customHeight="1" x14ac:dyDescent="0.25">
      <c r="A59" s="266" t="s">
        <v>58</v>
      </c>
      <c r="B59" s="267"/>
      <c r="C59" s="267"/>
      <c r="D59" s="201">
        <v>8560466.7599999998</v>
      </c>
      <c r="E59" s="202">
        <v>24414311.690000001</v>
      </c>
      <c r="F59" s="201">
        <f>D59-E59</f>
        <v>-15853844.930000002</v>
      </c>
    </row>
    <row r="60" spans="1:6" ht="15" customHeight="1" x14ac:dyDescent="0.25">
      <c r="A60" s="189"/>
      <c r="D60" s="199"/>
      <c r="E60" s="200"/>
      <c r="F60" s="199"/>
    </row>
    <row r="61" spans="1:6" ht="15" customHeight="1" thickBot="1" x14ac:dyDescent="0.3">
      <c r="A61" s="270" t="s">
        <v>59</v>
      </c>
      <c r="B61" s="271"/>
      <c r="C61" s="271"/>
      <c r="D61" s="203">
        <f>D57+D59</f>
        <v>20997964.939999983</v>
      </c>
      <c r="E61" s="204">
        <f>E57+E59</f>
        <v>23254052.36999999</v>
      </c>
      <c r="F61" s="203">
        <f>D61-E61</f>
        <v>-2256087.4300000072</v>
      </c>
    </row>
    <row r="62" spans="1:6" ht="15" customHeight="1" thickTop="1" x14ac:dyDescent="0.25">
      <c r="D62" s="205">
        <f>D61-'Detailed SFP'!F15</f>
        <v>0</v>
      </c>
      <c r="E62" s="205">
        <f>E61-'Detailed SFP'!G15</f>
        <v>0</v>
      </c>
      <c r="F62" s="205">
        <f>D61-E61-F61</f>
        <v>0</v>
      </c>
    </row>
    <row r="63" spans="1:6" s="206" customFormat="1" ht="15" customHeight="1" x14ac:dyDescent="0.25">
      <c r="E63" s="207"/>
    </row>
    <row r="64" spans="1:6" s="206" customFormat="1" ht="15" customHeight="1" x14ac:dyDescent="0.25">
      <c r="E64" s="208"/>
    </row>
    <row r="65" spans="1:6" s="206" customFormat="1" ht="15" customHeight="1" x14ac:dyDescent="0.25">
      <c r="E65" s="208"/>
    </row>
    <row r="66" spans="1:6" s="206" customFormat="1" ht="15" customHeight="1" x14ac:dyDescent="0.25">
      <c r="A66" s="209"/>
      <c r="E66" s="208"/>
    </row>
    <row r="67" spans="1:6" s="206" customFormat="1" ht="15" customHeight="1" x14ac:dyDescent="0.3">
      <c r="A67" s="210"/>
      <c r="E67" s="208"/>
    </row>
    <row r="68" spans="1:6" ht="15" customHeight="1" x14ac:dyDescent="0.25">
      <c r="D68" s="211"/>
      <c r="E68" s="212"/>
      <c r="F68" s="211"/>
    </row>
    <row r="69" spans="1:6" ht="15" customHeight="1" x14ac:dyDescent="0.25">
      <c r="D69" s="181"/>
      <c r="E69" s="212"/>
      <c r="F69" s="181"/>
    </row>
    <row r="70" spans="1:6" ht="15" customHeight="1" x14ac:dyDescent="0.25">
      <c r="E70" s="212"/>
    </row>
    <row r="71" spans="1:6" ht="15" customHeight="1" x14ac:dyDescent="0.25">
      <c r="E71" s="212"/>
    </row>
    <row r="72" spans="1:6" ht="15" customHeight="1" x14ac:dyDescent="0.25">
      <c r="E72" s="212"/>
    </row>
    <row r="73" spans="1:6" ht="15" customHeight="1" x14ac:dyDescent="0.25">
      <c r="E73" s="212"/>
    </row>
    <row r="74" spans="1:6" ht="15" customHeight="1" x14ac:dyDescent="0.25">
      <c r="E74" s="212"/>
    </row>
    <row r="75" spans="1:6" ht="15" customHeight="1" x14ac:dyDescent="0.25">
      <c r="E75" s="212"/>
    </row>
    <row r="76" spans="1:6" ht="15" customHeight="1" x14ac:dyDescent="0.25">
      <c r="E76" s="212"/>
    </row>
    <row r="77" spans="1:6" ht="15" customHeight="1" x14ac:dyDescent="0.25">
      <c r="E77" s="212"/>
    </row>
    <row r="78" spans="1:6" ht="15" customHeight="1" x14ac:dyDescent="0.25">
      <c r="E78" s="212"/>
    </row>
    <row r="79" spans="1:6" ht="15" customHeight="1" x14ac:dyDescent="0.25">
      <c r="E79" s="212"/>
    </row>
    <row r="80" spans="1:6" ht="15" customHeight="1" x14ac:dyDescent="0.25">
      <c r="E80" s="212"/>
    </row>
    <row r="81" spans="5:5" ht="15" customHeight="1" x14ac:dyDescent="0.25">
      <c r="E81" s="212"/>
    </row>
    <row r="82" spans="5:5" ht="15" customHeight="1" x14ac:dyDescent="0.25">
      <c r="E82" s="212"/>
    </row>
    <row r="83" spans="5:5" ht="15" customHeight="1" x14ac:dyDescent="0.25">
      <c r="E83" s="212"/>
    </row>
  </sheetData>
  <mergeCells count="24">
    <mergeCell ref="A6:C6"/>
    <mergeCell ref="A1:C1"/>
    <mergeCell ref="A2:C2"/>
    <mergeCell ref="A3:C3"/>
    <mergeCell ref="A4:C4"/>
    <mergeCell ref="A5:C5"/>
    <mergeCell ref="B50:C50"/>
    <mergeCell ref="A7:C7"/>
    <mergeCell ref="B26:C26"/>
    <mergeCell ref="B32:C32"/>
    <mergeCell ref="A33:C33"/>
    <mergeCell ref="A34:C34"/>
    <mergeCell ref="A35:C35"/>
    <mergeCell ref="A37:C37"/>
    <mergeCell ref="B38:C38"/>
    <mergeCell ref="A39:C39"/>
    <mergeCell ref="B40:C40"/>
    <mergeCell ref="A49:C49"/>
    <mergeCell ref="B42:C42"/>
    <mergeCell ref="A52:C52"/>
    <mergeCell ref="A55:C55"/>
    <mergeCell ref="A57:C57"/>
    <mergeCell ref="A59:C59"/>
    <mergeCell ref="A61:C61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SFP</vt:lpstr>
      <vt:lpstr>Detailed SFP</vt:lpstr>
      <vt:lpstr>SCI</vt:lpstr>
      <vt:lpstr>Detailed SCI</vt:lpstr>
      <vt:lpstr>SCE</vt:lpstr>
      <vt:lpstr>SCF</vt:lpstr>
      <vt:lpstr>Detailed SCF</vt:lpstr>
      <vt:lpstr>'Detailed SCF'!Print_Area</vt:lpstr>
      <vt:lpstr>'Detailed SCI'!Print_Area</vt:lpstr>
      <vt:lpstr>'Detailed SFP'!Print_Area</vt:lpstr>
      <vt:lpstr>SCE!Print_Area</vt:lpstr>
      <vt:lpstr>SCF!Print_Area</vt:lpstr>
      <vt:lpstr>SCI!Print_Area</vt:lpstr>
      <vt:lpstr>SFP!Print_Area</vt:lpstr>
      <vt:lpstr>'Detailed SCF'!Print_Titles</vt:lpstr>
      <vt:lpstr>'Detailed SCI'!Print_Titles</vt:lpstr>
      <vt:lpstr>'Detailed SFP'!Print_Titles</vt:lpstr>
      <vt:lpstr>SCE!Print_Titles</vt:lpstr>
      <vt:lpstr>SCF!Print_Titles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Lenima B. Judan</dc:creator>
  <cp:lastModifiedBy>Inigo Balagot</cp:lastModifiedBy>
  <cp:lastPrinted>2024-07-10T06:27:02Z</cp:lastPrinted>
  <dcterms:created xsi:type="dcterms:W3CDTF">2019-06-25T06:40:23Z</dcterms:created>
  <dcterms:modified xsi:type="dcterms:W3CDTF">2024-07-17T23:27:27Z</dcterms:modified>
</cp:coreProperties>
</file>